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activeTab="20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  <sheet name="ИТОГО" sheetId="21" r:id="rId21"/>
  </sheets>
  <definedNames/>
  <calcPr fullCalcOnLoad="1"/>
</workbook>
</file>

<file path=xl/sharedStrings.xml><?xml version="1.0" encoding="utf-8"?>
<sst xmlns="http://schemas.openxmlformats.org/spreadsheetml/2006/main" count="659" uniqueCount="168">
  <si>
    <t>Наименование блюда</t>
  </si>
  <si>
    <t>№ рецептуры</t>
  </si>
  <si>
    <t>День:</t>
  </si>
  <si>
    <t>Возрастная категория: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</si>
  <si>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</si>
  <si>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</si>
  <si>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</si>
  <si>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</si>
  <si>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</si>
  <si>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</si>
  <si>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</si>
  <si>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</si>
  <si>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>ОБЕД</t>
  </si>
  <si>
    <t>ИТОГО ЗА ОБЕД:</t>
  </si>
  <si>
    <t>ИТОГО ЗА ДЕНЬ:</t>
  </si>
  <si>
    <t xml:space="preserve">Неделя: </t>
  </si>
  <si>
    <t>Энергетическая ценность</t>
  </si>
  <si>
    <t>Примечание</t>
  </si>
  <si>
    <t>Неделя:</t>
  </si>
  <si>
    <t>ИТОГО:</t>
  </si>
  <si>
    <t>Среднее значение за 1 день:</t>
  </si>
  <si>
    <t>Щи с мясом и сметаной</t>
  </si>
  <si>
    <t>Спагетти отварные с маслом</t>
  </si>
  <si>
    <t>Хлеб пшеничный</t>
  </si>
  <si>
    <t>Хлеб ржаной</t>
  </si>
  <si>
    <t>Яйцо отварное</t>
  </si>
  <si>
    <t>Сыр порциями</t>
  </si>
  <si>
    <t>Гуляш</t>
  </si>
  <si>
    <t>Компот фруктово-ягодный (вишня)</t>
  </si>
  <si>
    <t>Суп гороховый с мясом</t>
  </si>
  <si>
    <t>Рагу овощное</t>
  </si>
  <si>
    <t>Маринад из моркови</t>
  </si>
  <si>
    <t>Борщ с мясом и сметаной</t>
  </si>
  <si>
    <t>Бефстроганов</t>
  </si>
  <si>
    <t>Каша гречневая рассыпчатая с маслом</t>
  </si>
  <si>
    <t>Кукуруза консервированная</t>
  </si>
  <si>
    <t>Суп картофельный с мясом</t>
  </si>
  <si>
    <t>Рис отварной с овощами</t>
  </si>
  <si>
    <t>Компот фруктово-ягодный (красная смородина)</t>
  </si>
  <si>
    <t>Свекольник с мясом и сметаной</t>
  </si>
  <si>
    <t>Плов с курицей</t>
  </si>
  <si>
    <t>Компот фруктово-ягодный (клубника)</t>
  </si>
  <si>
    <t>Рыба запеченная в омлете</t>
  </si>
  <si>
    <t>Горошек консервированный</t>
  </si>
  <si>
    <t>Уха с рыбой</t>
  </si>
  <si>
    <t>Рассольник с мясом и сметаной</t>
  </si>
  <si>
    <t>Напиток витаминизированный плодово-ягодный (черносмородиновый)</t>
  </si>
  <si>
    <t>Макароны отварные с маслом</t>
  </si>
  <si>
    <t>Икра из кабачков</t>
  </si>
  <si>
    <t>Филе птицы тушеное с овощами</t>
  </si>
  <si>
    <t>Икра свекольная</t>
  </si>
  <si>
    <t>Курица запеченная</t>
  </si>
  <si>
    <t>Отвар из шиповника</t>
  </si>
  <si>
    <t>Суп куриный с вермишелью</t>
  </si>
  <si>
    <t>Рыба запеченная с сыром</t>
  </si>
  <si>
    <t>Картофельное пюре с маслом</t>
  </si>
  <si>
    <t>Мясо тушеное</t>
  </si>
  <si>
    <t>Рис отварной с маслом</t>
  </si>
  <si>
    <t>Филе птицы тушеное в сливочном соусе</t>
  </si>
  <si>
    <t>Кисель плодово-ягодный витаминизированный (клюквенный)</t>
  </si>
  <si>
    <t>Суп овощной с мясом и сметаной</t>
  </si>
  <si>
    <t>Филе птицы запеченное в розовом соусе</t>
  </si>
  <si>
    <t>Каша перловая рассыпчатая с маслом</t>
  </si>
  <si>
    <t>Суп куриный с рисом и томатом</t>
  </si>
  <si>
    <t>Бигос с мясом</t>
  </si>
  <si>
    <t>Борщ с квашеной капустой с мясом и сметаной</t>
  </si>
  <si>
    <t>Котлета из птицы</t>
  </si>
  <si>
    <t>Сок фруктовый (персиковый)</t>
  </si>
  <si>
    <t>Компот фруктово-ягодный (черная смородина)</t>
  </si>
  <si>
    <t>Свекла тушеная с яблоками</t>
  </si>
  <si>
    <t>Картофель отвпрной с маслом и зеленью</t>
  </si>
  <si>
    <t>Компот фруктово-ягодный (яблоко-брусника)</t>
  </si>
  <si>
    <t>Масло  сливочное  (порциями)</t>
  </si>
  <si>
    <t>ЕС  79</t>
  </si>
  <si>
    <t>Чай  травяной</t>
  </si>
  <si>
    <t>Фрукт в  ассортименте (мандарин)</t>
  </si>
  <si>
    <t>Каша  манная  молочная  с  изюмом</t>
  </si>
  <si>
    <t>ЕС  229</t>
  </si>
  <si>
    <t>Фрукт в  ассортименте (яблоко)</t>
  </si>
  <si>
    <t>Пудинг  творожный запеченный</t>
  </si>
  <si>
    <t>ЕС  285</t>
  </si>
  <si>
    <t>Чай  с  сахаром  и  лимоном</t>
  </si>
  <si>
    <t>Фрукт в  ассортименте (груша)</t>
  </si>
  <si>
    <t>Запеканка   рисовая</t>
  </si>
  <si>
    <t>ЕС  244</t>
  </si>
  <si>
    <t>Суп  молочный  с вермишелью</t>
  </si>
  <si>
    <t>Чай  с  шиповником</t>
  </si>
  <si>
    <t>Каша  "Дружба"  молочная  с маслом</t>
  </si>
  <si>
    <t>ЕС  226</t>
  </si>
  <si>
    <t>Каша рисовая молочная  с  персиками  и  маслом</t>
  </si>
  <si>
    <t>Каша  пшенная  молочная  с маслом</t>
  </si>
  <si>
    <t>Запеканка   рисовая   с  изюмом</t>
  </si>
  <si>
    <t>Чай  с  лимоном  и  мятой</t>
  </si>
  <si>
    <t>Макароны, запеченные  с  сыром</t>
  </si>
  <si>
    <t>ЕС  261</t>
  </si>
  <si>
    <t>Каша  овсяная молочная  с  вишней  и  маслом</t>
  </si>
  <si>
    <t>Чай  с  молоком</t>
  </si>
  <si>
    <t>Чай  с  вишней</t>
  </si>
  <si>
    <t>Меню приготавливаемых блюд</t>
  </si>
  <si>
    <t>Каша "Геркулес" овсяная молочная с маслом</t>
  </si>
  <si>
    <t>Горячий сэндвич с сыром</t>
  </si>
  <si>
    <t>Чай с сахаром</t>
  </si>
  <si>
    <t>Огурец порциями</t>
  </si>
  <si>
    <t>Печень, тушенная в красном соусе</t>
  </si>
  <si>
    <t>Хлеб пшеничный витамин</t>
  </si>
  <si>
    <t>Компот из с/фруктов</t>
  </si>
  <si>
    <t>Макароны, запеченые  с  яйцом  и  маслом</t>
  </si>
  <si>
    <t>449 *</t>
  </si>
  <si>
    <t>Батон</t>
  </si>
  <si>
    <t>30</t>
  </si>
  <si>
    <t>Напиток кофейный</t>
  </si>
  <si>
    <t>Яблоко</t>
  </si>
  <si>
    <t>Помидор свежий порциями</t>
  </si>
  <si>
    <t>Суп рыбный с крупой (конс)</t>
  </si>
  <si>
    <t>Котлета деликатесная</t>
  </si>
  <si>
    <t>Запеканка из творога со сгущенным молоком</t>
  </si>
  <si>
    <t>Батон пшеничный</t>
  </si>
  <si>
    <t>Апельсин</t>
  </si>
  <si>
    <t>Суп куриный с рисом</t>
  </si>
  <si>
    <t>Биточек рыбный "Бриз"</t>
  </si>
  <si>
    <t>Макароны отварные</t>
  </si>
  <si>
    <t>Кисель витаминизир</t>
  </si>
  <si>
    <t>Каша кукурузная молочная с маслом</t>
  </si>
  <si>
    <t>Чай травяной</t>
  </si>
  <si>
    <t>Огурец свежий</t>
  </si>
  <si>
    <t>Запеканка из печени со сливочным соусом</t>
  </si>
  <si>
    <t>Картофельное пюре</t>
  </si>
  <si>
    <t>Хлеб  ржаной</t>
  </si>
  <si>
    <t>Кисель витамин</t>
  </si>
  <si>
    <t>Омлет  натуральный  с  маслом</t>
  </si>
  <si>
    <t>батон</t>
  </si>
  <si>
    <t>Груша</t>
  </si>
  <si>
    <t>Филе птицы тушеное в томатном соусе</t>
  </si>
  <si>
    <t>Каша перловая рассыпчатая</t>
  </si>
  <si>
    <t>Сок</t>
  </si>
  <si>
    <t>Свежие  фрукты</t>
  </si>
  <si>
    <t>Помидор свежий</t>
  </si>
  <si>
    <t>Фрикадельки мясные</t>
  </si>
  <si>
    <t>348 *</t>
  </si>
  <si>
    <t>Напиток витамин</t>
  </si>
  <si>
    <t>Какао с молоком</t>
  </si>
  <si>
    <t>Икра кабачковая</t>
  </si>
  <si>
    <t>Суп  из  овощей  с гренками</t>
  </si>
  <si>
    <t>7-11 лет</t>
  </si>
  <si>
    <t>Маринад морковный</t>
  </si>
  <si>
    <t>Информационная таблица</t>
  </si>
  <si>
    <t>Кефир</t>
  </si>
  <si>
    <t>ЕС470</t>
  </si>
  <si>
    <t>Печенье овсяное</t>
  </si>
  <si>
    <t>Ряженка</t>
  </si>
  <si>
    <t>Йогурт</t>
  </si>
  <si>
    <t>Мармелад фруктовый</t>
  </si>
  <si>
    <t>Оладьи с маслом</t>
  </si>
  <si>
    <t>Фрукт в ассортименте (апельсин)</t>
  </si>
  <si>
    <t xml:space="preserve">Сок фруктовый </t>
  </si>
  <si>
    <t>Зефир ванильный</t>
  </si>
  <si>
    <t>Печенье сахарное</t>
  </si>
  <si>
    <t>Пряник</t>
  </si>
  <si>
    <t>Вафли сливочные</t>
  </si>
  <si>
    <t>401*</t>
  </si>
  <si>
    <t>*  Сборник рецептур блюд и кулинарных изделий для предприятий общественного питания, 1981</t>
  </si>
  <si>
    <t>Примерное 20-дневное меню, ТТК, Министерство образования и науки Кемеровской области-Кузбасса</t>
  </si>
  <si>
    <t>Компот из сухофруктов с вит С</t>
  </si>
  <si>
    <t>Компот из чернослива и сухофруктов вит С</t>
  </si>
  <si>
    <t>Хлеб пшеничный витам</t>
  </si>
  <si>
    <t>Хлеб пшеничный вит С</t>
  </si>
  <si>
    <t xml:space="preserve">ЕС №    Единый сборник технологических нормативов, рецептур блюд и кулинарных изделий, Пермь, 2018 </t>
  </si>
  <si>
    <t>401 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</si>
</sst>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33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33" borderId="10" xfId="0" applyNumberFormat="1" applyFont="1" applyFill="1" applyBorder="1" applyAlignment="1">
      <alignment horizontal="right" vertical="center" indent="1"/>
    </xf>
    <xf numFmtId="4" fontId="5" fillId="33" borderId="10" xfId="0" applyNumberFormat="1" applyFont="1" applyFill="1" applyBorder="1" applyAlignment="1">
      <alignment horizontal="right" vertical="center" wrapText="1" inden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4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right" vertical="top" wrapText="1" indent="1"/>
    </xf>
    <xf numFmtId="0" fontId="5" fillId="33" borderId="10" xfId="0" applyNumberFormat="1" applyFont="1" applyFill="1" applyBorder="1" applyAlignment="1">
      <alignment horizontal="right" vertical="center" indent="1"/>
    </xf>
    <xf numFmtId="0" fontId="5" fillId="33" borderId="10" xfId="0" applyNumberFormat="1" applyFont="1" applyFill="1" applyBorder="1" applyAlignment="1">
      <alignment horizontal="right" vertical="center" wrapText="1" indent="1"/>
    </xf>
    <xf numFmtId="0" fontId="4" fillId="39" borderId="12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/>
    </xf>
    <xf numFmtId="4" fontId="4" fillId="39" borderId="10" xfId="0" applyNumberFormat="1" applyFont="1" applyFill="1" applyBorder="1" applyAlignment="1">
      <alignment horizontal="right" vertical="center" indent="1"/>
    </xf>
    <xf numFmtId="4" fontId="4" fillId="39" borderId="12" xfId="0" applyNumberFormat="1" applyFont="1" applyFill="1" applyBorder="1" applyAlignment="1">
      <alignment horizontal="right" vertical="center" wrapText="1" indent="1"/>
    </xf>
    <xf numFmtId="0" fontId="4" fillId="39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 vertical="top" wrapText="1"/>
    </xf>
    <xf numFmtId="0" fontId="4" fillId="39" borderId="14" xfId="0" applyFont="1" applyFill="1" applyBorder="1" applyAlignment="1">
      <alignment horizontal="center" vertical="top" wrapText="1"/>
    </xf>
    <xf numFmtId="4" fontId="4" fillId="39" borderId="10" xfId="0" applyNumberFormat="1" applyFont="1" applyFill="1" applyBorder="1" applyAlignment="1">
      <alignment horizontal="right" vertical="top" wrapText="1" indent="1"/>
    </xf>
    <xf numFmtId="0" fontId="4" fillId="39" borderId="12" xfId="0" applyFont="1" applyFill="1" applyBorder="1" applyAlignment="1">
      <alignment vertical="top" wrapText="1"/>
    </xf>
    <xf numFmtId="0" fontId="4" fillId="39" borderId="15" xfId="0" applyFont="1" applyFill="1" applyBorder="1" applyAlignment="1">
      <alignment horizontal="center" vertical="top" wrapText="1"/>
    </xf>
    <xf numFmtId="4" fontId="4" fillId="39" borderId="12" xfId="0" applyNumberFormat="1" applyFont="1" applyFill="1" applyBorder="1" applyAlignment="1">
      <alignment horizontal="right" vertical="center" indent="1"/>
    </xf>
    <xf numFmtId="0" fontId="4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right" vertical="center" wrapText="1" indent="1"/>
    </xf>
    <xf numFmtId="0" fontId="4" fillId="36" borderId="10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center" vertical="top" wrapText="1"/>
    </xf>
    <xf numFmtId="4" fontId="4" fillId="36" borderId="10" xfId="0" applyNumberFormat="1" applyFont="1" applyFill="1" applyBorder="1" applyAlignment="1">
      <alignment horizontal="right" vertical="top" wrapText="1" indent="1"/>
    </xf>
    <xf numFmtId="0" fontId="4" fillId="36" borderId="10" xfId="0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top" wrapText="1"/>
    </xf>
    <xf numFmtId="4" fontId="4" fillId="36" borderId="12" xfId="0" applyNumberFormat="1" applyFont="1" applyFill="1" applyBorder="1" applyAlignment="1">
      <alignment horizontal="right" vertical="center" indent="1"/>
    </xf>
    <xf numFmtId="4" fontId="4" fillId="36" borderId="12" xfId="0" applyNumberFormat="1" applyFont="1" applyFill="1" applyBorder="1" applyAlignment="1">
      <alignment horizontal="right" vertical="center" wrapText="1" indent="1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vertical="center"/>
    </xf>
    <xf numFmtId="0" fontId="4" fillId="36" borderId="14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vertical="top" wrapText="1"/>
    </xf>
    <xf numFmtId="0" fontId="4" fillId="36" borderId="10" xfId="0" applyNumberFormat="1" applyFont="1" applyFill="1" applyBorder="1" applyAlignment="1">
      <alignment horizontal="right" vertical="top" wrapText="1" indent="1"/>
    </xf>
    <xf numFmtId="0" fontId="4" fillId="39" borderId="14" xfId="0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vertical="center"/>
    </xf>
    <xf numFmtId="0" fontId="4" fillId="39" borderId="15" xfId="0" applyFont="1" applyFill="1" applyBorder="1" applyAlignment="1">
      <alignment vertical="top" wrapText="1"/>
    </xf>
    <xf numFmtId="4" fontId="4" fillId="39" borderId="12" xfId="0" applyNumberFormat="1" applyFont="1" applyFill="1" applyBorder="1" applyAlignment="1">
      <alignment horizontal="right" vertical="top" wrapText="1" indent="1"/>
    </xf>
    <xf numFmtId="0" fontId="4" fillId="39" borderId="14" xfId="0" applyFont="1" applyFill="1" applyBorder="1" applyAlignment="1">
      <alignment/>
    </xf>
    <xf numFmtId="0" fontId="4" fillId="39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0" xfId="0" applyNumberFormat="1" applyFont="1" applyFill="1" applyBorder="1" applyAlignment="1">
      <alignment horizontal="right" vertical="top" wrapText="1" inden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39" borderId="10" xfId="0" applyFont="1" applyFill="1" applyBorder="1" applyAlignment="1">
      <alignment horizontal="right" indent="1"/>
    </xf>
    <xf numFmtId="4" fontId="4" fillId="39" borderId="10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0" fontId="4" fillId="33" borderId="10" xfId="0" applyFont="1" applyFill="1" applyBorder="1" applyAlignment="1">
      <alignment horizontal="right" indent="1"/>
    </xf>
    <xf numFmtId="0" fontId="4" fillId="36" borderId="10" xfId="0" applyFont="1" applyFill="1" applyBorder="1" applyAlignment="1">
      <alignment horizontal="right" indent="1"/>
    </xf>
    <xf numFmtId="0" fontId="4" fillId="40" borderId="12" xfId="0" applyFont="1" applyFill="1" applyBorder="1" applyAlignment="1">
      <alignment vertical="top" wrapText="1"/>
    </xf>
    <xf numFmtId="0" fontId="4" fillId="40" borderId="15" xfId="0" applyFont="1" applyFill="1" applyBorder="1" applyAlignment="1">
      <alignment horizontal="center" vertical="top" wrapText="1"/>
    </xf>
    <xf numFmtId="4" fontId="4" fillId="40" borderId="12" xfId="0" applyNumberFormat="1" applyFont="1" applyFill="1" applyBorder="1" applyAlignment="1">
      <alignment horizontal="right" vertical="center" indent="1"/>
    </xf>
    <xf numFmtId="4" fontId="4" fillId="40" borderId="12" xfId="0" applyNumberFormat="1" applyFont="1" applyFill="1" applyBorder="1" applyAlignment="1">
      <alignment horizontal="right" vertical="center" wrapText="1" indent="1"/>
    </xf>
    <xf numFmtId="0" fontId="4" fillId="40" borderId="10" xfId="0" applyFont="1" applyFill="1" applyBorder="1" applyAlignment="1">
      <alignment horizontal="right"/>
    </xf>
    <xf numFmtId="0" fontId="4" fillId="4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40" borderId="14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4" fontId="4" fillId="40" borderId="10" xfId="0" applyNumberFormat="1" applyFont="1" applyFill="1" applyBorder="1" applyAlignment="1">
      <alignment horizontal="right" vertical="top" wrapText="1" indent="1"/>
    </xf>
    <xf numFmtId="0" fontId="4" fillId="40" borderId="10" xfId="0" applyFont="1" applyFill="1" applyBorder="1" applyAlignment="1">
      <alignment vertical="top" wrapText="1"/>
    </xf>
    <xf numFmtId="0" fontId="4" fillId="40" borderId="10" xfId="0" applyNumberFormat="1" applyFont="1" applyFill="1" applyBorder="1" applyAlignment="1">
      <alignment horizontal="right" vertical="top" wrapText="1" inden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4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41" borderId="0" xfId="0" applyFont="1" applyFill="1" applyBorder="1" applyAlignment="1">
      <alignment/>
    </xf>
    <xf numFmtId="4" fontId="4" fillId="41" borderId="0" xfId="0" applyNumberFormat="1" applyFont="1" applyFill="1" applyBorder="1" applyAlignment="1">
      <alignment/>
    </xf>
    <xf numFmtId="0" fontId="4" fillId="41" borderId="0" xfId="0" applyFont="1" applyFill="1" applyAlignment="1">
      <alignment/>
    </xf>
    <xf numFmtId="4" fontId="4" fillId="41" borderId="0" xfId="0" applyNumberFormat="1" applyFont="1" applyFill="1" applyAlignment="1">
      <alignment/>
    </xf>
    <xf numFmtId="0" fontId="4" fillId="41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L36"/>
  <sheetViews>
    <sheetView zoomScalePageLayoutView="0" workbookViewId="0" topLeftCell="A7">
      <selection activeCell="N20" sqref="N20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375" style="1" customWidth="1"/>
    <col min="4" max="4" width="10.125" style="1" customWidth="1"/>
    <col min="5" max="7" width="9.375" style="1" customWidth="1"/>
    <col min="8" max="8" width="11.125" style="1" customWidth="1"/>
    <col min="9" max="9" width="11.2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5" t="s">
        <v>143</v>
      </c>
      <c r="E3" s="2"/>
    </row>
    <row r="4" spans="3:5" ht="12.75">
      <c r="C4" s="4" t="s">
        <v>15</v>
      </c>
      <c r="D4" s="16">
        <v>1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6.5" customHeight="1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25.5" customHeight="1">
      <c r="B10" s="112"/>
      <c r="C10" s="44" t="s">
        <v>99</v>
      </c>
      <c r="D10" s="45">
        <v>205</v>
      </c>
      <c r="E10" s="46">
        <v>7.6</v>
      </c>
      <c r="F10" s="46">
        <v>11.6</v>
      </c>
      <c r="G10" s="47">
        <v>39</v>
      </c>
      <c r="H10" s="46">
        <v>238.6</v>
      </c>
      <c r="I10" s="77">
        <v>62</v>
      </c>
    </row>
    <row r="11" spans="2:9" ht="12.75">
      <c r="B11" s="112"/>
      <c r="C11" s="49" t="s">
        <v>100</v>
      </c>
      <c r="D11" s="50">
        <v>75</v>
      </c>
      <c r="E11" s="51">
        <v>9.22</v>
      </c>
      <c r="F11" s="51">
        <v>8.1</v>
      </c>
      <c r="G11" s="51">
        <v>32.5</v>
      </c>
      <c r="H11" s="51">
        <v>199.8</v>
      </c>
      <c r="I11" s="77">
        <v>189</v>
      </c>
    </row>
    <row r="12" spans="2:9" ht="12.75">
      <c r="B12" s="112"/>
      <c r="C12" s="49" t="s">
        <v>24</v>
      </c>
      <c r="D12" s="50">
        <v>20</v>
      </c>
      <c r="E12" s="51">
        <v>1.14</v>
      </c>
      <c r="F12" s="51">
        <v>0.22</v>
      </c>
      <c r="G12" s="51">
        <v>7.44</v>
      </c>
      <c r="H12" s="51">
        <v>36.26</v>
      </c>
      <c r="I12" s="78">
        <v>120</v>
      </c>
    </row>
    <row r="13" spans="2:9" ht="12.75">
      <c r="B13" s="112"/>
      <c r="C13" s="52" t="s">
        <v>101</v>
      </c>
      <c r="D13" s="53">
        <v>200</v>
      </c>
      <c r="E13" s="54">
        <v>0.2</v>
      </c>
      <c r="F13" s="54">
        <v>0</v>
      </c>
      <c r="G13" s="54">
        <v>11</v>
      </c>
      <c r="H13" s="47">
        <v>44.8</v>
      </c>
      <c r="I13" s="78">
        <v>114</v>
      </c>
    </row>
    <row r="14" spans="2:9" ht="12.75">
      <c r="B14" s="112"/>
      <c r="C14" s="49" t="s">
        <v>82</v>
      </c>
      <c r="D14" s="51">
        <v>100</v>
      </c>
      <c r="E14" s="51">
        <f>0.6*100/150</f>
        <v>0.4</v>
      </c>
      <c r="F14" s="51">
        <f>0.45*100/150</f>
        <v>0.3</v>
      </c>
      <c r="G14" s="51">
        <f>12.2*100/150</f>
        <v>8.133333333333333</v>
      </c>
      <c r="H14" s="51">
        <f>54.9*100/150</f>
        <v>36.6</v>
      </c>
      <c r="I14" s="77">
        <v>25</v>
      </c>
    </row>
    <row r="15" spans="2:9" ht="12.75">
      <c r="B15" s="112"/>
      <c r="C15" s="5"/>
      <c r="D15" s="12"/>
      <c r="E15" s="12"/>
      <c r="F15" s="12"/>
      <c r="G15" s="12"/>
      <c r="H15" s="12"/>
      <c r="I15" s="88"/>
    </row>
    <row r="16" spans="2:9" ht="12.75">
      <c r="B16" s="112"/>
      <c r="C16" s="49" t="s">
        <v>146</v>
      </c>
      <c r="D16" s="51">
        <v>200</v>
      </c>
      <c r="E16" s="51">
        <v>5.8</v>
      </c>
      <c r="F16" s="51">
        <v>5</v>
      </c>
      <c r="G16" s="51">
        <v>8</v>
      </c>
      <c r="H16" s="51">
        <v>101</v>
      </c>
      <c r="I16" s="48" t="s">
        <v>147</v>
      </c>
    </row>
    <row r="17" spans="2:9" ht="12.75">
      <c r="B17" s="112"/>
      <c r="C17" s="5"/>
      <c r="D17" s="12"/>
      <c r="E17" s="12"/>
      <c r="F17" s="12"/>
      <c r="G17" s="12"/>
      <c r="H17" s="12"/>
      <c r="I17" s="10"/>
    </row>
    <row r="18" spans="2:12" ht="12.75">
      <c r="B18" s="8" t="s">
        <v>10</v>
      </c>
      <c r="C18" s="7"/>
      <c r="D18" s="13">
        <f>SUM(D9:D17)</f>
        <v>800</v>
      </c>
      <c r="E18" s="13">
        <f>SUM(E9:E17)</f>
        <v>24.36</v>
      </c>
      <c r="F18" s="13">
        <f>SUM(F9:F17)</f>
        <v>25.22</v>
      </c>
      <c r="G18" s="13">
        <f>SUM(G9:G17)</f>
        <v>106.07333333333332</v>
      </c>
      <c r="H18" s="14">
        <f>SUM(H9:H17)</f>
        <v>657.06</v>
      </c>
      <c r="I18" s="11"/>
      <c r="L18" s="87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10"/>
    </row>
    <row r="20" spans="2:9" ht="12.75">
      <c r="B20" s="112"/>
      <c r="C20" s="55" t="s">
        <v>102</v>
      </c>
      <c r="D20" s="56">
        <v>60</v>
      </c>
      <c r="E20" s="57">
        <f>0.7*60/100</f>
        <v>0.42</v>
      </c>
      <c r="F20" s="57">
        <f>0.1*60/100</f>
        <v>0.06</v>
      </c>
      <c r="G20" s="57">
        <f>1.7*60/100</f>
        <v>1.02</v>
      </c>
      <c r="H20" s="57">
        <f>10.3*60/100</f>
        <v>6.18</v>
      </c>
      <c r="I20" s="58">
        <v>28</v>
      </c>
    </row>
    <row r="21" spans="2:9" ht="12.75">
      <c r="B21" s="112"/>
      <c r="C21" s="55" t="s">
        <v>21</v>
      </c>
      <c r="D21" s="56">
        <v>250</v>
      </c>
      <c r="E21" s="57">
        <v>8</v>
      </c>
      <c r="F21" s="57">
        <v>7.75</v>
      </c>
      <c r="G21" s="57">
        <v>9.5</v>
      </c>
      <c r="H21" s="57">
        <v>139</v>
      </c>
      <c r="I21" s="58">
        <v>30</v>
      </c>
    </row>
    <row r="22" spans="2:9" ht="12.75">
      <c r="B22" s="112"/>
      <c r="C22" s="55" t="s">
        <v>103</v>
      </c>
      <c r="D22" s="56">
        <v>90</v>
      </c>
      <c r="E22" s="57">
        <v>13.68</v>
      </c>
      <c r="F22" s="57">
        <v>7.11</v>
      </c>
      <c r="G22" s="57">
        <v>3.42</v>
      </c>
      <c r="H22" s="57">
        <v>132.39</v>
      </c>
      <c r="I22" s="59">
        <v>192</v>
      </c>
    </row>
    <row r="23" spans="2:9" ht="12.75">
      <c r="B23" s="112"/>
      <c r="C23" s="55" t="s">
        <v>22</v>
      </c>
      <c r="D23" s="60">
        <v>150</v>
      </c>
      <c r="E23" s="61">
        <f>8.6*150/200</f>
        <v>6.45</v>
      </c>
      <c r="F23" s="61">
        <f>5.4*150/200</f>
        <v>4.05</v>
      </c>
      <c r="G23" s="61">
        <f>53.6*150/200</f>
        <v>40.2</v>
      </c>
      <c r="H23" s="61">
        <f>223.65*150/200</f>
        <v>167.7375</v>
      </c>
      <c r="I23" s="62">
        <v>65</v>
      </c>
    </row>
    <row r="24" spans="2:9" ht="12.75">
      <c r="B24" s="112"/>
      <c r="C24" s="63" t="s">
        <v>104</v>
      </c>
      <c r="D24" s="64">
        <v>30</v>
      </c>
      <c r="E24" s="65">
        <v>2.4</v>
      </c>
      <c r="F24" s="65">
        <v>0.4</v>
      </c>
      <c r="G24" s="65">
        <f>15.8*200/150</f>
        <v>21.066666666666666</v>
      </c>
      <c r="H24" s="66">
        <f>77.4*200/150</f>
        <v>103.20000000000002</v>
      </c>
      <c r="I24" s="62">
        <v>119</v>
      </c>
    </row>
    <row r="25" spans="2:9" ht="12.75">
      <c r="B25" s="112"/>
      <c r="C25" s="67" t="s">
        <v>24</v>
      </c>
      <c r="D25" s="56">
        <v>20</v>
      </c>
      <c r="E25" s="57">
        <v>1.14</v>
      </c>
      <c r="F25" s="57">
        <v>0.22</v>
      </c>
      <c r="G25" s="57">
        <v>36.26</v>
      </c>
      <c r="H25" s="57">
        <v>36.26</v>
      </c>
      <c r="I25" s="58">
        <v>120</v>
      </c>
    </row>
    <row r="26" spans="2:9" ht="12.75">
      <c r="B26" s="112"/>
      <c r="C26" s="67" t="s">
        <v>105</v>
      </c>
      <c r="D26" s="56">
        <v>200</v>
      </c>
      <c r="E26" s="57">
        <v>0.4</v>
      </c>
      <c r="F26" s="57">
        <v>0</v>
      </c>
      <c r="G26" s="57">
        <v>27</v>
      </c>
      <c r="H26" s="57">
        <v>110</v>
      </c>
      <c r="I26" s="58">
        <v>98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12" ht="12.75">
      <c r="B29" s="8" t="s">
        <v>13</v>
      </c>
      <c r="C29" s="7"/>
      <c r="D29" s="14">
        <f>SUM(D19:D28)</f>
        <v>800</v>
      </c>
      <c r="E29" s="14">
        <f>SUM(E19:E28)</f>
        <v>32.489999999999995</v>
      </c>
      <c r="F29" s="14">
        <f>SUM(F19:F28)</f>
        <v>19.589999999999996</v>
      </c>
      <c r="G29" s="14">
        <f>SUM(G19:G28)</f>
        <v>138.46666666666667</v>
      </c>
      <c r="H29" s="14">
        <f>SUM(H19:H28)</f>
        <v>694.7675</v>
      </c>
      <c r="I29" s="11"/>
      <c r="L29" s="87"/>
    </row>
    <row r="30" spans="2:9" ht="12.75">
      <c r="B30" s="8" t="s">
        <v>14</v>
      </c>
      <c r="C30" s="7"/>
      <c r="D30" s="14">
        <f>D18+D29</f>
        <v>1600</v>
      </c>
      <c r="E30" s="14">
        <f>E18+E29</f>
        <v>56.849999999999994</v>
      </c>
      <c r="F30" s="14">
        <f>F18+F29</f>
        <v>44.809999999999995</v>
      </c>
      <c r="G30" s="14">
        <f>G18+G29</f>
        <v>244.54</v>
      </c>
      <c r="H30" s="14">
        <f>H18+H29</f>
        <v>1351.8274999999999</v>
      </c>
      <c r="I30" s="11"/>
    </row>
    <row r="32" spans="4:8" ht="12.75">
      <c r="D32" s="108"/>
      <c r="E32" s="108"/>
      <c r="F32" s="109"/>
      <c r="G32" s="109"/>
      <c r="H32" s="109"/>
    </row>
    <row r="33" spans="4:8" ht="12.75"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  <row r="35" spans="3:8" ht="12.75">
      <c r="C35" s="116"/>
      <c r="D35" s="116"/>
      <c r="E35" s="116"/>
      <c r="F35" s="116"/>
      <c r="G35" s="116"/>
      <c r="H35" s="116"/>
    </row>
    <row r="36" spans="3:8" ht="12.75">
      <c r="C36" s="116"/>
      <c r="D36" s="117"/>
      <c r="E36" s="117"/>
      <c r="F36" s="117"/>
      <c r="G36" s="117"/>
      <c r="H36" s="117"/>
    </row>
  </sheetData>
  <sheetProtection/>
  <mergeCells count="8">
    <mergeCell ref="B9:B17"/>
    <mergeCell ref="B19:B28"/>
    <mergeCell ref="B7:B8"/>
    <mergeCell ref="I7:I8"/>
    <mergeCell ref="E7:G7"/>
    <mergeCell ref="C7:C8"/>
    <mergeCell ref="D7:D8"/>
    <mergeCell ref="H7:H8"/>
  </mergeCells>
  <printOptions/>
  <pageMargins left="2.2" right="0.1968503937007874" top="0.17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">
      <selection activeCell="C31" sqref="C31:H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1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152</v>
      </c>
      <c r="D10" s="50">
        <v>100</v>
      </c>
      <c r="E10" s="51">
        <v>5.4</v>
      </c>
      <c r="F10" s="51">
        <v>11</v>
      </c>
      <c r="G10" s="51">
        <v>31.2</v>
      </c>
      <c r="H10" s="51">
        <v>245.5</v>
      </c>
      <c r="I10" s="48">
        <v>95</v>
      </c>
    </row>
    <row r="11" spans="2:9" ht="12.75">
      <c r="B11" s="112"/>
      <c r="C11" s="49" t="s">
        <v>140</v>
      </c>
      <c r="D11" s="50">
        <v>200</v>
      </c>
      <c r="E11" s="51">
        <v>6.4</v>
      </c>
      <c r="F11" s="51">
        <v>5.2</v>
      </c>
      <c r="G11" s="51">
        <v>21</v>
      </c>
      <c r="H11" s="51">
        <v>156.6</v>
      </c>
      <c r="I11" s="48">
        <v>115</v>
      </c>
    </row>
    <row r="12" spans="2:9" ht="12.75">
      <c r="B12" s="112"/>
      <c r="C12" s="49" t="s">
        <v>153</v>
      </c>
      <c r="D12" s="50">
        <v>100</v>
      </c>
      <c r="E12" s="51">
        <f>0.9*100/150</f>
        <v>0.6</v>
      </c>
      <c r="F12" s="51">
        <f>0.2*100/150</f>
        <v>0.13333333333333333</v>
      </c>
      <c r="G12" s="51">
        <f>10.8*100/150</f>
        <v>7.2</v>
      </c>
      <c r="H12" s="51">
        <f>40*100/150</f>
        <v>26.666666666666668</v>
      </c>
      <c r="I12" s="48">
        <v>24</v>
      </c>
    </row>
    <row r="13" spans="2:9" ht="12.75">
      <c r="B13" s="112"/>
      <c r="C13" s="52"/>
      <c r="D13" s="53"/>
      <c r="E13" s="54"/>
      <c r="F13" s="54"/>
      <c r="G13" s="54"/>
      <c r="H13" s="47"/>
      <c r="I13" s="48"/>
    </row>
    <row r="14" spans="2:9" ht="12.75">
      <c r="B14" s="112"/>
      <c r="C14" s="96"/>
      <c r="D14" s="97"/>
      <c r="E14" s="98"/>
      <c r="F14" s="98"/>
      <c r="G14" s="98"/>
      <c r="H14" s="99"/>
      <c r="I14" s="100"/>
    </row>
    <row r="15" spans="2:9" ht="12.75">
      <c r="B15" s="112"/>
      <c r="C15" s="49" t="s">
        <v>150</v>
      </c>
      <c r="D15" s="51">
        <v>200</v>
      </c>
      <c r="E15" s="51">
        <v>8</v>
      </c>
      <c r="F15" s="51">
        <v>3.3</v>
      </c>
      <c r="G15" s="51">
        <v>16</v>
      </c>
      <c r="H15" s="51">
        <v>145</v>
      </c>
      <c r="I15" s="48" t="s">
        <v>159</v>
      </c>
    </row>
    <row r="16" spans="2:9" ht="12.75">
      <c r="B16" s="112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600</v>
      </c>
      <c r="E17" s="13">
        <f>SUM(E9:E16)</f>
        <v>20.4</v>
      </c>
      <c r="F17" s="13">
        <f>SUM(F9:F16)</f>
        <v>19.633333333333333</v>
      </c>
      <c r="G17" s="13">
        <f>SUM(G9:G16)</f>
        <v>75.4</v>
      </c>
      <c r="H17" s="14">
        <f>SUM(H9:H16)</f>
        <v>573.7666666666667</v>
      </c>
      <c r="I17" s="11"/>
    </row>
    <row r="18" spans="2:9" ht="12.75">
      <c r="B18" s="112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112"/>
      <c r="C19" s="55" t="s">
        <v>141</v>
      </c>
      <c r="D19" s="56">
        <v>60</v>
      </c>
      <c r="E19" s="57">
        <v>1.2</v>
      </c>
      <c r="F19" s="57">
        <v>5.4</v>
      </c>
      <c r="G19" s="57">
        <v>5.16</v>
      </c>
      <c r="H19" s="57">
        <v>73.2</v>
      </c>
      <c r="I19" s="58">
        <v>135</v>
      </c>
    </row>
    <row r="20" spans="2:9" ht="12.75">
      <c r="B20" s="112"/>
      <c r="C20" s="55" t="s">
        <v>142</v>
      </c>
      <c r="D20" s="60">
        <v>250</v>
      </c>
      <c r="E20" s="61">
        <v>3.94</v>
      </c>
      <c r="F20" s="61">
        <v>9.71</v>
      </c>
      <c r="G20" s="61">
        <v>19.95</v>
      </c>
      <c r="H20" s="61">
        <v>180.6</v>
      </c>
      <c r="I20" s="58">
        <v>45</v>
      </c>
    </row>
    <row r="21" spans="2:9" ht="12.75">
      <c r="B21" s="112"/>
      <c r="C21" s="55" t="s">
        <v>27</v>
      </c>
      <c r="D21" s="60">
        <v>90</v>
      </c>
      <c r="E21" s="61">
        <v>16.9</v>
      </c>
      <c r="F21" s="61">
        <v>6.39</v>
      </c>
      <c r="G21" s="61">
        <v>3.3</v>
      </c>
      <c r="H21" s="61">
        <v>138.78</v>
      </c>
      <c r="I21" s="58">
        <v>89</v>
      </c>
    </row>
    <row r="22" spans="2:9" ht="12.75">
      <c r="B22" s="112"/>
      <c r="C22" s="67" t="s">
        <v>120</v>
      </c>
      <c r="D22" s="56">
        <v>150</v>
      </c>
      <c r="E22" s="57">
        <v>6.45</v>
      </c>
      <c r="F22" s="57">
        <v>4.05</v>
      </c>
      <c r="G22" s="57">
        <v>40.2</v>
      </c>
      <c r="H22" s="57">
        <v>223.65</v>
      </c>
      <c r="I22" s="58">
        <v>65</v>
      </c>
    </row>
    <row r="23" spans="2:9" ht="12.75">
      <c r="B23" s="112"/>
      <c r="C23" s="63" t="s">
        <v>104</v>
      </c>
      <c r="D23" s="64">
        <v>30</v>
      </c>
      <c r="E23" s="65">
        <v>2.4</v>
      </c>
      <c r="F23" s="65">
        <v>0.4</v>
      </c>
      <c r="G23" s="65">
        <f>15.8*200/150</f>
        <v>21.066666666666666</v>
      </c>
      <c r="H23" s="66">
        <f>77.4*200/150</f>
        <v>103.20000000000002</v>
      </c>
      <c r="I23" s="62">
        <v>119</v>
      </c>
    </row>
    <row r="24" spans="2:9" ht="12.75">
      <c r="B24" s="112"/>
      <c r="C24" s="63" t="s">
        <v>127</v>
      </c>
      <c r="D24" s="64">
        <v>25</v>
      </c>
      <c r="E24" s="65">
        <v>1.42</v>
      </c>
      <c r="F24" s="65">
        <v>0.27</v>
      </c>
      <c r="G24" s="65">
        <v>9.3</v>
      </c>
      <c r="H24" s="66">
        <v>45.32</v>
      </c>
      <c r="I24" s="58">
        <v>120</v>
      </c>
    </row>
    <row r="25" spans="2:9" ht="12.75">
      <c r="B25" s="112"/>
      <c r="C25" s="67" t="s">
        <v>134</v>
      </c>
      <c r="D25" s="56">
        <v>200</v>
      </c>
      <c r="E25" s="57">
        <v>1</v>
      </c>
      <c r="F25" s="57">
        <v>0</v>
      </c>
      <c r="G25" s="57">
        <v>27.4</v>
      </c>
      <c r="H25" s="57">
        <v>112</v>
      </c>
      <c r="I25" s="58">
        <v>102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805</v>
      </c>
      <c r="E28" s="14">
        <f>SUM(E18:E27)</f>
        <v>33.309999999999995</v>
      </c>
      <c r="F28" s="14">
        <f>SUM(F18:F27)</f>
        <v>26.22</v>
      </c>
      <c r="G28" s="14">
        <f>SUM(G18:G27)</f>
        <v>126.37666666666667</v>
      </c>
      <c r="H28" s="14">
        <f>SUM(H18:H27)</f>
        <v>876.7500000000001</v>
      </c>
      <c r="I28" s="11"/>
    </row>
    <row r="29" spans="2:9" ht="12.75">
      <c r="B29" s="8" t="s">
        <v>14</v>
      </c>
      <c r="C29" s="7"/>
      <c r="D29" s="14">
        <f>D17+D28</f>
        <v>1405</v>
      </c>
      <c r="E29" s="14">
        <f>E17+E28</f>
        <v>53.709999999999994</v>
      </c>
      <c r="F29" s="14">
        <f>F17+F28</f>
        <v>45.85333333333333</v>
      </c>
      <c r="G29" s="14">
        <f>G17+G28</f>
        <v>201.77666666666667</v>
      </c>
      <c r="H29" s="14">
        <f>H17+H28</f>
        <v>1450.5166666666669</v>
      </c>
      <c r="I29" s="11"/>
    </row>
    <row r="31" spans="3:8" ht="12.75">
      <c r="C31" s="108"/>
      <c r="D31" s="108"/>
      <c r="E31" s="108"/>
      <c r="F31" s="109"/>
      <c r="G31" s="109"/>
      <c r="H31" s="109"/>
    </row>
    <row r="32" spans="3:8" ht="12.75">
      <c r="C32" s="108"/>
      <c r="D32" s="110"/>
      <c r="E32" s="110"/>
      <c r="F32" s="110"/>
      <c r="G32" s="110"/>
      <c r="H32" s="110"/>
    </row>
    <row r="33" spans="4:8" ht="12.75">
      <c r="D33" s="39"/>
      <c r="E33" s="85"/>
      <c r="F33" s="85"/>
      <c r="G33" s="85"/>
      <c r="H33" s="85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1.86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">
      <selection activeCell="C32" sqref="C31:H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75390625" style="1" customWidth="1"/>
    <col min="4" max="4" width="9.87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6">
        <v>3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90</v>
      </c>
      <c r="D10" s="51">
        <v>205</v>
      </c>
      <c r="E10" s="51">
        <v>7.6</v>
      </c>
      <c r="F10" s="51">
        <v>7.4</v>
      </c>
      <c r="G10" s="51">
        <v>30.8</v>
      </c>
      <c r="H10" s="51">
        <v>220.8</v>
      </c>
      <c r="I10" s="48">
        <v>168</v>
      </c>
    </row>
    <row r="11" spans="2:9" ht="12.75">
      <c r="B11" s="112"/>
      <c r="C11" s="49" t="s">
        <v>72</v>
      </c>
      <c r="D11" s="51">
        <v>10</v>
      </c>
      <c r="E11" s="51">
        <f>0.16*10/20</f>
        <v>0.08</v>
      </c>
      <c r="F11" s="51">
        <f>14.49*10/20</f>
        <v>7.245</v>
      </c>
      <c r="G11" s="51">
        <f>0.25/2</f>
        <v>0.125</v>
      </c>
      <c r="H11" s="51">
        <f>132.17/2</f>
        <v>66.085</v>
      </c>
      <c r="I11" s="91" t="s">
        <v>73</v>
      </c>
    </row>
    <row r="12" spans="2:9" ht="12.75">
      <c r="B12" s="112"/>
      <c r="C12" s="49" t="s">
        <v>23</v>
      </c>
      <c r="D12" s="51">
        <v>50</v>
      </c>
      <c r="E12" s="51">
        <v>3.55</v>
      </c>
      <c r="F12" s="51">
        <v>0.35</v>
      </c>
      <c r="G12" s="51">
        <v>22.1</v>
      </c>
      <c r="H12" s="51">
        <v>120</v>
      </c>
      <c r="I12" s="92">
        <v>119</v>
      </c>
    </row>
    <row r="13" spans="2:9" ht="12.75">
      <c r="B13" s="112"/>
      <c r="C13" s="49" t="s">
        <v>74</v>
      </c>
      <c r="D13" s="51">
        <v>200</v>
      </c>
      <c r="E13" s="51">
        <v>0.4</v>
      </c>
      <c r="F13" s="51">
        <v>0.2</v>
      </c>
      <c r="G13" s="51">
        <v>11.2</v>
      </c>
      <c r="H13" s="51">
        <v>47</v>
      </c>
      <c r="I13" s="48">
        <v>158</v>
      </c>
    </row>
    <row r="14" spans="2:9" ht="12.75">
      <c r="B14" s="112"/>
      <c r="C14" s="5"/>
      <c r="D14" s="12"/>
      <c r="E14" s="12"/>
      <c r="F14" s="12"/>
      <c r="G14" s="12"/>
      <c r="H14" s="12"/>
      <c r="I14" s="89"/>
    </row>
    <row r="15" spans="2:9" ht="12.75">
      <c r="B15" s="112"/>
      <c r="C15" s="49" t="s">
        <v>134</v>
      </c>
      <c r="D15" s="51">
        <v>200</v>
      </c>
      <c r="E15" s="51">
        <v>0</v>
      </c>
      <c r="F15" s="51">
        <v>0</v>
      </c>
      <c r="G15" s="51">
        <v>22.8</v>
      </c>
      <c r="H15" s="51">
        <v>46</v>
      </c>
      <c r="I15" s="90">
        <v>107</v>
      </c>
    </row>
    <row r="16" spans="2:9" ht="12.75">
      <c r="B16" s="112"/>
      <c r="C16" s="5"/>
      <c r="D16" s="12"/>
      <c r="E16" s="12"/>
      <c r="F16" s="12"/>
      <c r="G16" s="12"/>
      <c r="H16" s="12"/>
      <c r="I16" s="93"/>
    </row>
    <row r="17" spans="2:9" ht="12.75">
      <c r="B17" s="8" t="s">
        <v>10</v>
      </c>
      <c r="C17" s="7"/>
      <c r="D17" s="13">
        <f>SUM(D9:D16)</f>
        <v>665</v>
      </c>
      <c r="E17" s="13">
        <f>SUM(E9:E16)</f>
        <v>11.63</v>
      </c>
      <c r="F17" s="13">
        <f>SUM(F9:F16)</f>
        <v>15.194999999999999</v>
      </c>
      <c r="G17" s="13">
        <f>SUM(G9:G16)</f>
        <v>87.025</v>
      </c>
      <c r="H17" s="14">
        <f>SUM(H9:H16)</f>
        <v>499.885</v>
      </c>
      <c r="I17" s="94"/>
    </row>
    <row r="18" spans="2:9" ht="12.75">
      <c r="B18" s="112" t="s">
        <v>12</v>
      </c>
      <c r="C18" s="5"/>
      <c r="D18" s="12"/>
      <c r="E18" s="12"/>
      <c r="F18" s="12"/>
      <c r="G18" s="12"/>
      <c r="H18" s="12"/>
      <c r="I18" s="93"/>
    </row>
    <row r="19" spans="2:9" ht="12.75">
      <c r="B19" s="112"/>
      <c r="C19" s="55" t="s">
        <v>144</v>
      </c>
      <c r="D19" s="61">
        <v>60</v>
      </c>
      <c r="E19" s="61">
        <f>2*60/100</f>
        <v>1.2</v>
      </c>
      <c r="F19" s="61">
        <f>7.1*60/100</f>
        <v>4.26</v>
      </c>
      <c r="G19" s="61">
        <f>10.3*60/100</f>
        <v>6.18</v>
      </c>
      <c r="H19" s="61">
        <f>113.2*60/100</f>
        <v>67.92</v>
      </c>
      <c r="I19" s="95">
        <v>13</v>
      </c>
    </row>
    <row r="20" spans="2:9" ht="12.75">
      <c r="B20" s="112"/>
      <c r="C20" s="55" t="s">
        <v>36</v>
      </c>
      <c r="D20" s="61">
        <v>250</v>
      </c>
      <c r="E20" s="61">
        <v>7.5</v>
      </c>
      <c r="F20" s="61">
        <v>6.75</v>
      </c>
      <c r="G20" s="61">
        <v>13.5</v>
      </c>
      <c r="H20" s="61">
        <v>144.5</v>
      </c>
      <c r="I20" s="95">
        <v>37</v>
      </c>
    </row>
    <row r="21" spans="2:9" ht="12.75">
      <c r="B21" s="112"/>
      <c r="C21" s="55" t="s">
        <v>49</v>
      </c>
      <c r="D21" s="61">
        <v>90</v>
      </c>
      <c r="E21" s="61">
        <f>21.9*90/100</f>
        <v>19.709999999999997</v>
      </c>
      <c r="F21" s="61">
        <f>3.8*90/100</f>
        <v>3.42</v>
      </c>
      <c r="G21" s="61">
        <f>1.4*90/100</f>
        <v>1.2599999999999998</v>
      </c>
      <c r="H21" s="61">
        <f>127*90/100</f>
        <v>114.3</v>
      </c>
      <c r="I21" s="95">
        <v>177</v>
      </c>
    </row>
    <row r="22" spans="2:9" ht="25.5">
      <c r="B22" s="112"/>
      <c r="C22" s="55" t="s">
        <v>34</v>
      </c>
      <c r="D22" s="61">
        <v>150</v>
      </c>
      <c r="E22" s="61">
        <f>8.64*150/180</f>
        <v>7.2</v>
      </c>
      <c r="F22" s="61">
        <f>6.12*150/180</f>
        <v>5.1</v>
      </c>
      <c r="G22" s="61">
        <f>40.68*150/180</f>
        <v>33.9</v>
      </c>
      <c r="H22" s="61">
        <f>252.36*150/180</f>
        <v>210.3</v>
      </c>
      <c r="I22" s="95">
        <v>54</v>
      </c>
    </row>
    <row r="23" spans="2:9" ht="12.75">
      <c r="B23" s="112"/>
      <c r="C23" s="55" t="s">
        <v>104</v>
      </c>
      <c r="D23" s="61">
        <v>50</v>
      </c>
      <c r="E23" s="61">
        <v>3.55</v>
      </c>
      <c r="F23" s="61">
        <v>0.35</v>
      </c>
      <c r="G23" s="61">
        <v>22.1</v>
      </c>
      <c r="H23" s="61">
        <v>120</v>
      </c>
      <c r="I23" s="95">
        <v>119</v>
      </c>
    </row>
    <row r="24" spans="2:9" ht="12.75">
      <c r="B24" s="112"/>
      <c r="C24" s="55" t="s">
        <v>24</v>
      </c>
      <c r="D24" s="61">
        <v>60</v>
      </c>
      <c r="E24" s="61">
        <v>3.42</v>
      </c>
      <c r="F24" s="61">
        <v>0.66</v>
      </c>
      <c r="G24" s="61">
        <v>22.32</v>
      </c>
      <c r="H24" s="61">
        <v>108.78</v>
      </c>
      <c r="I24" s="95">
        <v>120</v>
      </c>
    </row>
    <row r="25" spans="2:9" ht="12.75">
      <c r="B25" s="112"/>
      <c r="C25" s="55" t="s">
        <v>105</v>
      </c>
      <c r="D25" s="61">
        <v>200</v>
      </c>
      <c r="E25" s="61">
        <v>0.4</v>
      </c>
      <c r="F25" s="61">
        <v>0</v>
      </c>
      <c r="G25" s="61">
        <v>27</v>
      </c>
      <c r="H25" s="61">
        <v>110</v>
      </c>
      <c r="I25" s="95">
        <v>98</v>
      </c>
    </row>
    <row r="26" spans="2:9" ht="12.75">
      <c r="B26" s="112"/>
      <c r="C26" s="5"/>
      <c r="D26" s="12"/>
      <c r="E26" s="12"/>
      <c r="F26" s="12"/>
      <c r="G26" s="12"/>
      <c r="H26" s="12"/>
      <c r="I26" s="93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42.98</v>
      </c>
      <c r="F28" s="14">
        <f>SUM(F18:F27)</f>
        <v>20.540000000000003</v>
      </c>
      <c r="G28" s="14">
        <f>SUM(G18:G27)</f>
        <v>126.25999999999999</v>
      </c>
      <c r="H28" s="14">
        <f>SUM(H18:H27)</f>
        <v>875.8</v>
      </c>
      <c r="I28" s="11"/>
    </row>
    <row r="29" spans="2:9" ht="12.75">
      <c r="B29" s="8" t="s">
        <v>14</v>
      </c>
      <c r="C29" s="7"/>
      <c r="D29" s="14">
        <f>D17+D28</f>
        <v>1525</v>
      </c>
      <c r="E29" s="14">
        <f>E17+E28</f>
        <v>54.61</v>
      </c>
      <c r="F29" s="14">
        <f>F17+F28</f>
        <v>35.735</v>
      </c>
      <c r="G29" s="14">
        <f>G17+G28</f>
        <v>213.285</v>
      </c>
      <c r="H29" s="14">
        <f>H17+H28</f>
        <v>1375.685</v>
      </c>
      <c r="I29" s="11"/>
    </row>
    <row r="31" spans="3:8" ht="12.75">
      <c r="C31" s="108"/>
      <c r="D31" s="108"/>
      <c r="E31" s="108"/>
      <c r="F31" s="109"/>
      <c r="G31" s="109"/>
      <c r="H31" s="109"/>
    </row>
    <row r="32" spans="3:8" ht="12.75">
      <c r="C32" s="108"/>
      <c r="D32" s="110"/>
      <c r="E32" s="110"/>
      <c r="F32" s="110"/>
      <c r="G32" s="110"/>
      <c r="H32" s="110"/>
    </row>
    <row r="33" spans="4:8" ht="12.75">
      <c r="D33" s="39"/>
      <c r="E33" s="85"/>
      <c r="F33" s="85"/>
      <c r="G33" s="85"/>
      <c r="H33" s="85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2.13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112"/>
      <c r="C10" s="82" t="s">
        <v>79</v>
      </c>
      <c r="D10" s="51">
        <v>200</v>
      </c>
      <c r="E10" s="51">
        <v>3.73</v>
      </c>
      <c r="F10" s="51">
        <v>9.87</v>
      </c>
      <c r="G10" s="51">
        <v>35.47</v>
      </c>
      <c r="H10" s="51">
        <v>369.33</v>
      </c>
      <c r="I10" s="48" t="s">
        <v>80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92">
        <v>119</v>
      </c>
    </row>
    <row r="12" spans="2:9" ht="12.75">
      <c r="B12" s="112"/>
      <c r="C12" s="49" t="s">
        <v>97</v>
      </c>
      <c r="D12" s="51">
        <v>200</v>
      </c>
      <c r="E12" s="51">
        <v>0.4</v>
      </c>
      <c r="F12" s="51">
        <v>0</v>
      </c>
      <c r="G12" s="51">
        <v>15</v>
      </c>
      <c r="H12" s="51">
        <v>62.2</v>
      </c>
      <c r="I12" s="48">
        <v>114</v>
      </c>
    </row>
    <row r="13" spans="2:9" ht="12.75">
      <c r="B13" s="112"/>
      <c r="C13" s="49" t="s">
        <v>78</v>
      </c>
      <c r="D13" s="51">
        <v>100</v>
      </c>
      <c r="E13" s="51">
        <v>0.4</v>
      </c>
      <c r="F13" s="51">
        <v>0</v>
      </c>
      <c r="G13" s="51">
        <v>11.3</v>
      </c>
      <c r="H13" s="51">
        <v>46</v>
      </c>
      <c r="I13" s="48">
        <v>24</v>
      </c>
    </row>
    <row r="14" spans="2:9" ht="12.75">
      <c r="B14" s="112"/>
      <c r="C14" s="49" t="s">
        <v>158</v>
      </c>
      <c r="D14" s="51">
        <v>60</v>
      </c>
      <c r="E14" s="51">
        <f>2.64*60/80</f>
        <v>1.98</v>
      </c>
      <c r="F14" s="51">
        <f>24*60/80</f>
        <v>18</v>
      </c>
      <c r="G14" s="51">
        <f>51.76*60/80</f>
        <v>38.82</v>
      </c>
      <c r="H14" s="51">
        <f>431.2*60/80</f>
        <v>323.4</v>
      </c>
      <c r="I14" s="48">
        <v>162</v>
      </c>
    </row>
    <row r="15" spans="2:9" ht="12.75">
      <c r="B15" s="112"/>
      <c r="C15" s="5"/>
      <c r="D15" s="12"/>
      <c r="E15" s="12"/>
      <c r="F15" s="12"/>
      <c r="G15" s="12"/>
      <c r="H15" s="12"/>
      <c r="I15" s="89"/>
    </row>
    <row r="16" spans="2:9" ht="12.75">
      <c r="B16" s="112"/>
      <c r="C16" s="49" t="s">
        <v>149</v>
      </c>
      <c r="D16" s="51">
        <v>200</v>
      </c>
      <c r="E16" s="51">
        <v>6</v>
      </c>
      <c r="F16" s="51">
        <v>6</v>
      </c>
      <c r="G16" s="51">
        <v>8.4</v>
      </c>
      <c r="H16" s="51">
        <v>145</v>
      </c>
      <c r="I16" s="48" t="s">
        <v>159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810</v>
      </c>
      <c r="E18" s="13">
        <f>SUM(E9:E17)</f>
        <v>16.060000000000002</v>
      </c>
      <c r="F18" s="13">
        <f>SUM(F9:F17)</f>
        <v>34.22</v>
      </c>
      <c r="G18" s="13">
        <f>SUM(G9:G17)</f>
        <v>131.09</v>
      </c>
      <c r="H18" s="14">
        <f>SUM(H9:H17)</f>
        <v>1065.9299999999998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55" t="s">
        <v>50</v>
      </c>
      <c r="D20" s="61">
        <v>60</v>
      </c>
      <c r="E20" s="61">
        <f>2.1*60/100</f>
        <v>1.26</v>
      </c>
      <c r="F20" s="61">
        <f>7.1*60/100</f>
        <v>4.26</v>
      </c>
      <c r="G20" s="61">
        <f>12.1*60/100</f>
        <v>7.26</v>
      </c>
      <c r="H20" s="61">
        <f>120.8*60/100</f>
        <v>72.48</v>
      </c>
      <c r="I20" s="95">
        <v>9</v>
      </c>
    </row>
    <row r="21" spans="2:9" ht="12.75">
      <c r="B21" s="112"/>
      <c r="C21" s="55" t="s">
        <v>29</v>
      </c>
      <c r="D21" s="61">
        <v>250</v>
      </c>
      <c r="E21" s="61">
        <v>11.25</v>
      </c>
      <c r="F21" s="61">
        <v>7</v>
      </c>
      <c r="G21" s="61">
        <v>17.25</v>
      </c>
      <c r="H21" s="61">
        <v>176.25</v>
      </c>
      <c r="I21" s="95">
        <v>34</v>
      </c>
    </row>
    <row r="22" spans="2:9" ht="12.75">
      <c r="B22" s="112"/>
      <c r="C22" s="55" t="s">
        <v>51</v>
      </c>
      <c r="D22" s="61">
        <v>90</v>
      </c>
      <c r="E22" s="61">
        <f>24.9*90/100</f>
        <v>22.41</v>
      </c>
      <c r="F22" s="61">
        <f>17*90/100</f>
        <v>15.3</v>
      </c>
      <c r="G22" s="61">
        <f>0.6*90/100</f>
        <v>0.54</v>
      </c>
      <c r="H22" s="61">
        <f>255.3*90/100</f>
        <v>229.77</v>
      </c>
      <c r="I22" s="95">
        <v>81</v>
      </c>
    </row>
    <row r="23" spans="2:9" ht="12.75">
      <c r="B23" s="112"/>
      <c r="C23" s="55" t="s">
        <v>30</v>
      </c>
      <c r="D23" s="61">
        <v>150</v>
      </c>
      <c r="E23" s="61">
        <f>2.88*150/180</f>
        <v>2.4</v>
      </c>
      <c r="F23" s="61">
        <f>8.28*150/180</f>
        <v>6.9</v>
      </c>
      <c r="G23" s="61">
        <f>16.92*150/180</f>
        <v>14.100000000000003</v>
      </c>
      <c r="H23" s="61">
        <f>154.62*150/180</f>
        <v>128.85</v>
      </c>
      <c r="I23" s="95">
        <v>22</v>
      </c>
    </row>
    <row r="24" spans="2:9" ht="12.75">
      <c r="B24" s="112"/>
      <c r="C24" s="55" t="s">
        <v>104</v>
      </c>
      <c r="D24" s="61">
        <v>50</v>
      </c>
      <c r="E24" s="61">
        <v>3.55</v>
      </c>
      <c r="F24" s="61">
        <v>0.35</v>
      </c>
      <c r="G24" s="61">
        <v>22.1</v>
      </c>
      <c r="H24" s="61">
        <v>120</v>
      </c>
      <c r="I24" s="95">
        <v>119</v>
      </c>
    </row>
    <row r="25" spans="2:9" ht="12.75">
      <c r="B25" s="112"/>
      <c r="C25" s="55" t="s">
        <v>24</v>
      </c>
      <c r="D25" s="61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12.75">
      <c r="B26" s="112"/>
      <c r="C26" s="55" t="s">
        <v>52</v>
      </c>
      <c r="D26" s="61">
        <v>200</v>
      </c>
      <c r="E26" s="61">
        <v>0.8</v>
      </c>
      <c r="F26" s="61">
        <v>0</v>
      </c>
      <c r="G26" s="61">
        <v>24.6</v>
      </c>
      <c r="H26" s="61">
        <v>101.2</v>
      </c>
      <c r="I26" s="95">
        <v>101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860</v>
      </c>
      <c r="E29" s="14">
        <f>SUM(E19:E28)</f>
        <v>45.089999999999996</v>
      </c>
      <c r="F29" s="14">
        <f>SUM(F19:F28)</f>
        <v>34.47</v>
      </c>
      <c r="G29" s="14">
        <f>SUM(G19:G28)</f>
        <v>108.16999999999999</v>
      </c>
      <c r="H29" s="14">
        <f>SUM(H19:H28)</f>
        <v>937.33</v>
      </c>
      <c r="I29" s="11"/>
    </row>
    <row r="30" spans="2:9" ht="12.75">
      <c r="B30" s="8" t="s">
        <v>14</v>
      </c>
      <c r="C30" s="7"/>
      <c r="D30" s="14">
        <f>D18+D29</f>
        <v>1670</v>
      </c>
      <c r="E30" s="14">
        <f>E18+E29</f>
        <v>61.15</v>
      </c>
      <c r="F30" s="14">
        <f>F18+F29</f>
        <v>68.69</v>
      </c>
      <c r="G30" s="14">
        <f>G18+G29</f>
        <v>239.26</v>
      </c>
      <c r="H30" s="14">
        <f>H18+H29</f>
        <v>2003.2599999999998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82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1">
      <selection activeCell="C33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753906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112"/>
      <c r="C10" s="49" t="s">
        <v>91</v>
      </c>
      <c r="D10" s="51">
        <v>200</v>
      </c>
      <c r="E10" s="51">
        <v>4.69</v>
      </c>
      <c r="F10" s="51">
        <v>2.09</v>
      </c>
      <c r="G10" s="51">
        <v>48.29</v>
      </c>
      <c r="H10" s="51">
        <v>231</v>
      </c>
      <c r="I10" s="48" t="s">
        <v>84</v>
      </c>
    </row>
    <row r="11" spans="2:9" ht="12.75">
      <c r="B11" s="112"/>
      <c r="C11" s="49" t="s">
        <v>72</v>
      </c>
      <c r="D11" s="51">
        <v>10</v>
      </c>
      <c r="E11" s="51">
        <f>0.12*10/15</f>
        <v>0.08</v>
      </c>
      <c r="F11" s="51">
        <f>10.87*10/15</f>
        <v>7.246666666666666</v>
      </c>
      <c r="G11" s="51">
        <f>0.19*10/15</f>
        <v>0.12666666666666665</v>
      </c>
      <c r="H11" s="51">
        <f>99.13*10/15</f>
        <v>66.08666666666666</v>
      </c>
      <c r="I11" s="91" t="s">
        <v>73</v>
      </c>
    </row>
    <row r="12" spans="2:9" ht="12.75">
      <c r="B12" s="112"/>
      <c r="C12" s="49" t="s">
        <v>23</v>
      </c>
      <c r="D12" s="51">
        <v>50</v>
      </c>
      <c r="E12" s="51">
        <v>3.55</v>
      </c>
      <c r="F12" s="51">
        <v>0.35</v>
      </c>
      <c r="G12" s="51">
        <v>22.1</v>
      </c>
      <c r="H12" s="51">
        <v>120</v>
      </c>
      <c r="I12" s="92">
        <v>119</v>
      </c>
    </row>
    <row r="13" spans="2:9" ht="12.75">
      <c r="B13" s="112"/>
      <c r="C13" s="49" t="s">
        <v>92</v>
      </c>
      <c r="D13" s="51">
        <v>200</v>
      </c>
      <c r="E13" s="51">
        <v>0.4</v>
      </c>
      <c r="F13" s="51">
        <v>0.2</v>
      </c>
      <c r="G13" s="51">
        <v>19.8</v>
      </c>
      <c r="H13" s="51">
        <v>47.6</v>
      </c>
      <c r="I13" s="48">
        <v>161</v>
      </c>
    </row>
    <row r="14" spans="2:9" ht="12.75">
      <c r="B14" s="112"/>
      <c r="C14" s="49" t="s">
        <v>75</v>
      </c>
      <c r="D14" s="51">
        <v>100</v>
      </c>
      <c r="E14" s="51">
        <v>0.9</v>
      </c>
      <c r="F14" s="51">
        <v>0</v>
      </c>
      <c r="G14" s="51">
        <v>8.6</v>
      </c>
      <c r="H14" s="51">
        <v>38</v>
      </c>
      <c r="I14" s="48">
        <v>137</v>
      </c>
    </row>
    <row r="15" spans="2:9" ht="12.75">
      <c r="B15" s="112"/>
      <c r="C15" s="5"/>
      <c r="D15" s="12"/>
      <c r="E15" s="12"/>
      <c r="F15" s="12"/>
      <c r="G15" s="12"/>
      <c r="H15" s="12"/>
      <c r="I15" s="89"/>
    </row>
    <row r="16" spans="2:9" ht="12.75">
      <c r="B16" s="112"/>
      <c r="C16" s="49" t="s">
        <v>146</v>
      </c>
      <c r="D16" s="51">
        <v>200</v>
      </c>
      <c r="E16" s="51">
        <v>5.8</v>
      </c>
      <c r="F16" s="51">
        <v>5</v>
      </c>
      <c r="G16" s="51">
        <v>8</v>
      </c>
      <c r="H16" s="51">
        <v>101</v>
      </c>
      <c r="I16" s="48" t="s">
        <v>147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760</v>
      </c>
      <c r="E18" s="13">
        <f>SUM(E9:E17)</f>
        <v>15.420000000000002</v>
      </c>
      <c r="F18" s="13">
        <f>SUM(F9:F17)</f>
        <v>14.886666666666665</v>
      </c>
      <c r="G18" s="13">
        <f>SUM(G9:G17)</f>
        <v>106.91666666666666</v>
      </c>
      <c r="H18" s="14">
        <f>SUM(H9:H17)</f>
        <v>603.6866666666667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55" t="s">
        <v>25</v>
      </c>
      <c r="D20" s="61">
        <v>50</v>
      </c>
      <c r="E20" s="61">
        <v>5.95</v>
      </c>
      <c r="F20" s="61">
        <v>5.05</v>
      </c>
      <c r="G20" s="61">
        <v>0.3</v>
      </c>
      <c r="H20" s="61">
        <v>70.7</v>
      </c>
      <c r="I20" s="95">
        <v>17</v>
      </c>
    </row>
    <row r="21" spans="2:9" ht="12.75">
      <c r="B21" s="112"/>
      <c r="C21" s="55" t="s">
        <v>53</v>
      </c>
      <c r="D21" s="61">
        <v>250</v>
      </c>
      <c r="E21" s="61">
        <v>6</v>
      </c>
      <c r="F21" s="61">
        <v>9.5</v>
      </c>
      <c r="G21" s="61">
        <v>11.25</v>
      </c>
      <c r="H21" s="61">
        <v>154.5</v>
      </c>
      <c r="I21" s="95">
        <v>35</v>
      </c>
    </row>
    <row r="22" spans="2:9" ht="12.75">
      <c r="B22" s="112"/>
      <c r="C22" s="55" t="s">
        <v>54</v>
      </c>
      <c r="D22" s="61">
        <v>90</v>
      </c>
      <c r="E22" s="61">
        <f>21.4*90/100</f>
        <v>19.259999999999998</v>
      </c>
      <c r="F22" s="61">
        <f>3.8*90/100</f>
        <v>3.42</v>
      </c>
      <c r="G22" s="61">
        <f>3.5*90/100</f>
        <v>3.15</v>
      </c>
      <c r="H22" s="61">
        <f>134.3*90/100</f>
        <v>120.87000000000002</v>
      </c>
      <c r="I22" s="95">
        <v>146</v>
      </c>
    </row>
    <row r="23" spans="2:9" ht="12.75">
      <c r="B23" s="112"/>
      <c r="C23" s="55" t="s">
        <v>55</v>
      </c>
      <c r="D23" s="61">
        <v>150</v>
      </c>
      <c r="E23" s="61">
        <f>3.96*150/180</f>
        <v>3.3</v>
      </c>
      <c r="F23" s="61">
        <f>9.36*150/180</f>
        <v>7.8</v>
      </c>
      <c r="G23" s="61">
        <f>26.82*150/180</f>
        <v>22.35</v>
      </c>
      <c r="H23" s="61">
        <f>207.72*150/180</f>
        <v>173.1</v>
      </c>
      <c r="I23" s="95">
        <v>50</v>
      </c>
    </row>
    <row r="24" spans="2:9" ht="12.75">
      <c r="B24" s="112"/>
      <c r="C24" s="55" t="s">
        <v>104</v>
      </c>
      <c r="D24" s="61">
        <v>50</v>
      </c>
      <c r="E24" s="61">
        <v>3.55</v>
      </c>
      <c r="F24" s="61">
        <v>0.35</v>
      </c>
      <c r="G24" s="61">
        <v>22.1</v>
      </c>
      <c r="H24" s="61">
        <v>120</v>
      </c>
      <c r="I24" s="95">
        <v>119</v>
      </c>
    </row>
    <row r="25" spans="2:9" ht="12.75">
      <c r="B25" s="112"/>
      <c r="C25" s="55" t="s">
        <v>24</v>
      </c>
      <c r="D25" s="61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12.75">
      <c r="B26" s="112"/>
      <c r="C26" s="55" t="s">
        <v>154</v>
      </c>
      <c r="D26" s="61">
        <v>200</v>
      </c>
      <c r="E26" s="61">
        <v>0</v>
      </c>
      <c r="F26" s="61">
        <v>0</v>
      </c>
      <c r="G26" s="61">
        <v>19.6</v>
      </c>
      <c r="H26" s="61">
        <v>78</v>
      </c>
      <c r="I26" s="95">
        <v>107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850</v>
      </c>
      <c r="E29" s="14">
        <f>SUM(E19:E28)</f>
        <v>41.48</v>
      </c>
      <c r="F29" s="14">
        <f>SUM(F19:F28)</f>
        <v>26.78</v>
      </c>
      <c r="G29" s="14">
        <f>SUM(G19:G28)</f>
        <v>101.07</v>
      </c>
      <c r="H29" s="14">
        <f>SUM(H19:H28)</f>
        <v>825.9499999999999</v>
      </c>
      <c r="I29" s="11"/>
    </row>
    <row r="30" spans="2:9" ht="12.75">
      <c r="B30" s="8" t="s">
        <v>14</v>
      </c>
      <c r="C30" s="7"/>
      <c r="D30" s="14">
        <f>D18+D29</f>
        <v>1610</v>
      </c>
      <c r="E30" s="14">
        <f>E18+E29</f>
        <v>56.9</v>
      </c>
      <c r="F30" s="14">
        <f>F18+F29</f>
        <v>41.666666666666664</v>
      </c>
      <c r="G30" s="14">
        <f>G18+G29</f>
        <v>207.98666666666665</v>
      </c>
      <c r="H30" s="14">
        <f>H18+H29</f>
        <v>1429.6366666666668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79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1">
      <selection activeCell="C33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112"/>
      <c r="C10" s="49" t="s">
        <v>93</v>
      </c>
      <c r="D10" s="51">
        <v>200</v>
      </c>
      <c r="E10" s="51">
        <v>8.2</v>
      </c>
      <c r="F10" s="51">
        <v>9.36</v>
      </c>
      <c r="G10" s="51">
        <v>36.2</v>
      </c>
      <c r="H10" s="51">
        <v>262.44</v>
      </c>
      <c r="I10" s="91" t="s">
        <v>94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92">
        <v>119</v>
      </c>
    </row>
    <row r="12" spans="2:9" ht="12.75">
      <c r="B12" s="112"/>
      <c r="C12" s="49" t="s">
        <v>96</v>
      </c>
      <c r="D12" s="51">
        <v>200</v>
      </c>
      <c r="E12" s="51">
        <v>1.8</v>
      </c>
      <c r="F12" s="51">
        <v>1.2</v>
      </c>
      <c r="G12" s="51">
        <v>13.2</v>
      </c>
      <c r="H12" s="51">
        <v>69.9</v>
      </c>
      <c r="I12" s="48">
        <v>112</v>
      </c>
    </row>
    <row r="13" spans="2:9" ht="12.75">
      <c r="B13" s="112"/>
      <c r="C13" s="49" t="s">
        <v>82</v>
      </c>
      <c r="D13" s="51">
        <v>100</v>
      </c>
      <c r="E13" s="51">
        <v>0.4</v>
      </c>
      <c r="F13" s="51">
        <v>0.3</v>
      </c>
      <c r="G13" s="51">
        <v>8.2</v>
      </c>
      <c r="H13" s="51">
        <v>36.6</v>
      </c>
      <c r="I13" s="48">
        <v>25</v>
      </c>
    </row>
    <row r="14" spans="2:9" ht="12.75">
      <c r="B14" s="112"/>
      <c r="C14" s="49" t="s">
        <v>156</v>
      </c>
      <c r="D14" s="51">
        <v>50</v>
      </c>
      <c r="E14" s="51">
        <f>5.36*50/80</f>
        <v>3.35</v>
      </c>
      <c r="F14" s="51">
        <f>20.56*50/80</f>
        <v>12.85</v>
      </c>
      <c r="G14" s="51">
        <f>51.76*50/80</f>
        <v>32.35</v>
      </c>
      <c r="H14" s="51">
        <f>351.2*50/80</f>
        <v>219.5</v>
      </c>
      <c r="I14" s="48">
        <v>162</v>
      </c>
    </row>
    <row r="15" spans="2:9" ht="12.75">
      <c r="B15" s="112"/>
      <c r="C15" s="5"/>
      <c r="D15" s="12"/>
      <c r="E15" s="12"/>
      <c r="F15" s="12"/>
      <c r="G15" s="12"/>
      <c r="H15" s="12"/>
      <c r="I15" s="89"/>
    </row>
    <row r="16" spans="2:9" ht="12.75">
      <c r="B16" s="112"/>
      <c r="C16" s="49" t="s">
        <v>134</v>
      </c>
      <c r="D16" s="51">
        <v>200</v>
      </c>
      <c r="E16" s="51">
        <v>0</v>
      </c>
      <c r="F16" s="51">
        <v>0</v>
      </c>
      <c r="G16" s="51">
        <v>22.8</v>
      </c>
      <c r="H16" s="51">
        <v>46</v>
      </c>
      <c r="I16" s="90">
        <v>107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800</v>
      </c>
      <c r="E18" s="13">
        <f>SUM(E9:E17)</f>
        <v>17.3</v>
      </c>
      <c r="F18" s="13">
        <f>SUM(F9:F17)</f>
        <v>24.06</v>
      </c>
      <c r="G18" s="13">
        <f>SUM(G9:G17)</f>
        <v>134.85000000000002</v>
      </c>
      <c r="H18" s="14">
        <f>SUM(H9:H17)</f>
        <v>754.44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55" t="s">
        <v>69</v>
      </c>
      <c r="D20" s="61">
        <v>60</v>
      </c>
      <c r="E20" s="61">
        <f>1.3*60/100</f>
        <v>0.78</v>
      </c>
      <c r="F20" s="61">
        <f>10.2*60/100</f>
        <v>6.12</v>
      </c>
      <c r="G20" s="61">
        <f>9.2*60/100</f>
        <v>5.52</v>
      </c>
      <c r="H20" s="61">
        <f>132.5*60/100</f>
        <v>79.5</v>
      </c>
      <c r="I20" s="95">
        <v>132</v>
      </c>
    </row>
    <row r="21" spans="2:9" ht="12.75">
      <c r="B21" s="112"/>
      <c r="C21" s="55" t="s">
        <v>21</v>
      </c>
      <c r="D21" s="61">
        <v>250</v>
      </c>
      <c r="E21" s="61">
        <v>8</v>
      </c>
      <c r="F21" s="61">
        <v>7.75</v>
      </c>
      <c r="G21" s="61">
        <v>9.5</v>
      </c>
      <c r="H21" s="61">
        <v>139</v>
      </c>
      <c r="I21" s="95">
        <v>30</v>
      </c>
    </row>
    <row r="22" spans="2:9" ht="12.75">
      <c r="B22" s="112"/>
      <c r="C22" s="55" t="s">
        <v>56</v>
      </c>
      <c r="D22" s="61">
        <v>90</v>
      </c>
      <c r="E22" s="61">
        <f>21.34*90/110</f>
        <v>17.46</v>
      </c>
      <c r="F22" s="61">
        <f>9.24*90/110</f>
        <v>7.5600000000000005</v>
      </c>
      <c r="G22" s="61">
        <f>5.83*90/110</f>
        <v>4.7700000000000005</v>
      </c>
      <c r="H22" s="61">
        <f>192.06*90/110</f>
        <v>157.14000000000001</v>
      </c>
      <c r="I22" s="95">
        <v>88</v>
      </c>
    </row>
    <row r="23" spans="2:9" ht="12.75">
      <c r="B23" s="112"/>
      <c r="C23" s="55" t="s">
        <v>57</v>
      </c>
      <c r="D23" s="61">
        <v>150</v>
      </c>
      <c r="E23" s="61">
        <f>3.96*150/180</f>
        <v>3.3</v>
      </c>
      <c r="F23" s="61">
        <f>5.94*150/180</f>
        <v>4.950000000000001</v>
      </c>
      <c r="G23" s="61">
        <f>38.7*150/180</f>
        <v>32.25</v>
      </c>
      <c r="H23" s="61">
        <f>223.74*90/110</f>
        <v>183.06000000000003</v>
      </c>
      <c r="I23" s="95">
        <v>53</v>
      </c>
    </row>
    <row r="24" spans="2:9" ht="12.75">
      <c r="B24" s="112"/>
      <c r="C24" s="55" t="s">
        <v>23</v>
      </c>
      <c r="D24" s="61">
        <v>50</v>
      </c>
      <c r="E24" s="61">
        <v>3.55</v>
      </c>
      <c r="F24" s="61">
        <v>0.35</v>
      </c>
      <c r="G24" s="61">
        <v>22.1</v>
      </c>
      <c r="H24" s="61">
        <v>120</v>
      </c>
      <c r="I24" s="95">
        <v>119</v>
      </c>
    </row>
    <row r="25" spans="2:9" ht="12.75">
      <c r="B25" s="112"/>
      <c r="C25" s="55" t="s">
        <v>24</v>
      </c>
      <c r="D25" s="61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12.75">
      <c r="B26" s="112"/>
      <c r="C26" s="55" t="s">
        <v>162</v>
      </c>
      <c r="D26" s="61">
        <v>200</v>
      </c>
      <c r="E26" s="61">
        <v>0.4</v>
      </c>
      <c r="F26" s="61">
        <v>0</v>
      </c>
      <c r="G26" s="61">
        <v>27</v>
      </c>
      <c r="H26" s="61">
        <v>110</v>
      </c>
      <c r="I26" s="95">
        <v>98</v>
      </c>
    </row>
    <row r="27" spans="2:9" ht="12.75">
      <c r="B27" s="112"/>
      <c r="C27" s="5"/>
      <c r="D27" s="12"/>
      <c r="E27" s="12"/>
      <c r="F27" s="12"/>
      <c r="G27" s="12"/>
      <c r="H27" s="12"/>
      <c r="I27" s="93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860</v>
      </c>
      <c r="E29" s="14">
        <f>SUM(E19:E28)</f>
        <v>36.910000000000004</v>
      </c>
      <c r="F29" s="14">
        <f>SUM(F19:F28)</f>
        <v>27.390000000000004</v>
      </c>
      <c r="G29" s="14">
        <f>SUM(G19:G28)</f>
        <v>123.46000000000001</v>
      </c>
      <c r="H29" s="14">
        <f>SUM(H19:H28)</f>
        <v>897.48</v>
      </c>
      <c r="I29" s="11"/>
    </row>
    <row r="30" spans="2:9" ht="12.75">
      <c r="B30" s="8" t="s">
        <v>14</v>
      </c>
      <c r="C30" s="7"/>
      <c r="D30" s="14">
        <f>D18+D29</f>
        <v>1660</v>
      </c>
      <c r="E30" s="14">
        <f>E18+E29</f>
        <v>54.21000000000001</v>
      </c>
      <c r="F30" s="14">
        <f>F18+F29</f>
        <v>51.45</v>
      </c>
      <c r="G30" s="14">
        <f>G18+G29</f>
        <v>258.31000000000006</v>
      </c>
      <c r="H30" s="14">
        <f>H18+H29</f>
        <v>1651.92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99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">
      <selection activeCell="C31" sqref="C31:H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2.125" style="1" customWidth="1"/>
    <col min="4" max="4" width="10.25390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95</v>
      </c>
      <c r="D10" s="51">
        <v>205</v>
      </c>
      <c r="E10" s="51">
        <v>7.6</v>
      </c>
      <c r="F10" s="51">
        <v>8.4</v>
      </c>
      <c r="G10" s="51">
        <v>31.6</v>
      </c>
      <c r="H10" s="51">
        <v>232.2</v>
      </c>
      <c r="I10" s="48">
        <v>62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92">
        <v>119</v>
      </c>
    </row>
    <row r="12" spans="2:9" ht="12.75">
      <c r="B12" s="112"/>
      <c r="C12" s="49" t="s">
        <v>97</v>
      </c>
      <c r="D12" s="51">
        <v>200</v>
      </c>
      <c r="E12" s="51">
        <v>0.4</v>
      </c>
      <c r="F12" s="51">
        <v>0</v>
      </c>
      <c r="G12" s="51">
        <v>15</v>
      </c>
      <c r="H12" s="51">
        <v>62.2</v>
      </c>
      <c r="I12" s="48">
        <v>114</v>
      </c>
    </row>
    <row r="13" spans="2:9" ht="12.75">
      <c r="B13" s="112"/>
      <c r="C13" s="49" t="s">
        <v>78</v>
      </c>
      <c r="D13" s="51">
        <v>100</v>
      </c>
      <c r="E13" s="51">
        <v>0.4</v>
      </c>
      <c r="F13" s="51">
        <v>0</v>
      </c>
      <c r="G13" s="51">
        <v>11.3</v>
      </c>
      <c r="H13" s="51">
        <v>46</v>
      </c>
      <c r="I13" s="48">
        <v>24</v>
      </c>
    </row>
    <row r="14" spans="2:9" ht="12.75">
      <c r="B14" s="112"/>
      <c r="C14" s="5"/>
      <c r="D14" s="12"/>
      <c r="E14" s="12"/>
      <c r="F14" s="12"/>
      <c r="G14" s="12"/>
      <c r="H14" s="12"/>
      <c r="I14" s="89"/>
    </row>
    <row r="15" spans="2:9" ht="12.75">
      <c r="B15" s="112"/>
      <c r="C15" s="49" t="s">
        <v>150</v>
      </c>
      <c r="D15" s="51">
        <v>200</v>
      </c>
      <c r="E15" s="51">
        <v>8</v>
      </c>
      <c r="F15" s="51">
        <v>3.3</v>
      </c>
      <c r="G15" s="51">
        <v>16</v>
      </c>
      <c r="H15" s="51">
        <v>145</v>
      </c>
      <c r="I15" s="90" t="s">
        <v>167</v>
      </c>
    </row>
    <row r="16" spans="2:9" ht="12.75">
      <c r="B16" s="112"/>
      <c r="C16" s="5"/>
      <c r="D16" s="12"/>
      <c r="E16" s="12"/>
      <c r="F16" s="12"/>
      <c r="G16" s="12"/>
      <c r="H16" s="12"/>
      <c r="I16" s="93"/>
    </row>
    <row r="17" spans="2:9" ht="12.75">
      <c r="B17" s="8" t="s">
        <v>10</v>
      </c>
      <c r="C17" s="7"/>
      <c r="D17" s="13">
        <f>SUM(D9:D16)</f>
        <v>755</v>
      </c>
      <c r="E17" s="13">
        <f>SUM(E9:E16)</f>
        <v>19.95</v>
      </c>
      <c r="F17" s="13">
        <f>SUM(F9:F16)</f>
        <v>12.05</v>
      </c>
      <c r="G17" s="13">
        <f>SUM(G9:G16)</f>
        <v>96</v>
      </c>
      <c r="H17" s="14">
        <f>SUM(H9:H16)</f>
        <v>605.4</v>
      </c>
      <c r="I17" s="94"/>
    </row>
    <row r="18" spans="2:9" ht="12.75">
      <c r="B18" s="112" t="s">
        <v>12</v>
      </c>
      <c r="C18" s="5"/>
      <c r="D18" s="12"/>
      <c r="E18" s="12"/>
      <c r="F18" s="12"/>
      <c r="G18" s="12"/>
      <c r="H18" s="12"/>
      <c r="I18" s="93"/>
    </row>
    <row r="19" spans="2:9" ht="12.75">
      <c r="B19" s="112"/>
      <c r="C19" s="55" t="s">
        <v>48</v>
      </c>
      <c r="D19" s="61">
        <v>60</v>
      </c>
      <c r="E19" s="61">
        <f>2*60/100</f>
        <v>1.2</v>
      </c>
      <c r="F19" s="61">
        <f>9*60/100</f>
        <v>5.4</v>
      </c>
      <c r="G19" s="61">
        <f>8.6*60/100</f>
        <v>5.16</v>
      </c>
      <c r="H19" s="61">
        <f>122*60/100</f>
        <v>73.2</v>
      </c>
      <c r="I19" s="95">
        <v>135</v>
      </c>
    </row>
    <row r="20" spans="2:9" ht="12.75">
      <c r="B20" s="112"/>
      <c r="C20" s="55" t="s">
        <v>32</v>
      </c>
      <c r="D20" s="61">
        <v>250</v>
      </c>
      <c r="E20" s="61">
        <v>7.75</v>
      </c>
      <c r="F20" s="61">
        <v>9</v>
      </c>
      <c r="G20" s="61">
        <v>11.5</v>
      </c>
      <c r="H20" s="61">
        <v>159.75</v>
      </c>
      <c r="I20" s="95">
        <v>31</v>
      </c>
    </row>
    <row r="21" spans="2:9" ht="12.75">
      <c r="B21" s="112"/>
      <c r="C21" s="55" t="s">
        <v>58</v>
      </c>
      <c r="D21" s="61">
        <v>90</v>
      </c>
      <c r="E21" s="61">
        <f>19.58*90/110</f>
        <v>16.02</v>
      </c>
      <c r="F21" s="61">
        <f>6.6*90/110</f>
        <v>5.4</v>
      </c>
      <c r="G21" s="61">
        <f>4.84*90/110</f>
        <v>3.9599999999999995</v>
      </c>
      <c r="H21" s="61">
        <f>157.3*90/110</f>
        <v>128.70000000000002</v>
      </c>
      <c r="I21" s="95">
        <v>195</v>
      </c>
    </row>
    <row r="22" spans="2:9" ht="12.75">
      <c r="B22" s="112"/>
      <c r="C22" s="55" t="s">
        <v>47</v>
      </c>
      <c r="D22" s="61">
        <v>150</v>
      </c>
      <c r="E22" s="61">
        <f>7.74*150/180</f>
        <v>6.45</v>
      </c>
      <c r="F22" s="61">
        <f>4.86*150/180</f>
        <v>4.05</v>
      </c>
      <c r="G22" s="61">
        <f>48.24*150/180</f>
        <v>40.2</v>
      </c>
      <c r="H22" s="61">
        <f>268.38*150/180</f>
        <v>223.65</v>
      </c>
      <c r="I22" s="95">
        <v>64</v>
      </c>
    </row>
    <row r="23" spans="2:9" ht="12.75">
      <c r="B23" s="112"/>
      <c r="C23" s="55" t="s">
        <v>23</v>
      </c>
      <c r="D23" s="61">
        <v>50</v>
      </c>
      <c r="E23" s="61">
        <v>3.55</v>
      </c>
      <c r="F23" s="61">
        <v>0.35</v>
      </c>
      <c r="G23" s="61">
        <v>22.1</v>
      </c>
      <c r="H23" s="61">
        <v>120</v>
      </c>
      <c r="I23" s="95">
        <v>119</v>
      </c>
    </row>
    <row r="24" spans="2:9" ht="12.75">
      <c r="B24" s="112"/>
      <c r="C24" s="55" t="s">
        <v>24</v>
      </c>
      <c r="D24" s="61">
        <v>60</v>
      </c>
      <c r="E24" s="61">
        <v>3.42</v>
      </c>
      <c r="F24" s="61">
        <v>0.66</v>
      </c>
      <c r="G24" s="61">
        <v>22.32</v>
      </c>
      <c r="H24" s="61">
        <v>108.78</v>
      </c>
      <c r="I24" s="95">
        <v>120</v>
      </c>
    </row>
    <row r="25" spans="2:9" ht="25.5">
      <c r="B25" s="112"/>
      <c r="C25" s="55" t="s">
        <v>59</v>
      </c>
      <c r="D25" s="61">
        <v>200</v>
      </c>
      <c r="E25" s="61">
        <v>0</v>
      </c>
      <c r="F25" s="61">
        <v>0</v>
      </c>
      <c r="G25" s="61">
        <v>24.4</v>
      </c>
      <c r="H25" s="61">
        <v>97.6</v>
      </c>
      <c r="I25" s="95">
        <v>95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38.39</v>
      </c>
      <c r="F28" s="14">
        <f>SUM(F18:F27)</f>
        <v>24.860000000000003</v>
      </c>
      <c r="G28" s="14">
        <f>SUM(G18:G27)</f>
        <v>129.64000000000001</v>
      </c>
      <c r="H28" s="14">
        <f>SUM(H18:H27)</f>
        <v>911.68</v>
      </c>
      <c r="I28" s="11"/>
    </row>
    <row r="29" spans="2:9" ht="12.75">
      <c r="B29" s="8" t="s">
        <v>14</v>
      </c>
      <c r="C29" s="7"/>
      <c r="D29" s="14">
        <f>D17+D28</f>
        <v>1615</v>
      </c>
      <c r="E29" s="14">
        <f>E17+E28</f>
        <v>58.34</v>
      </c>
      <c r="F29" s="14">
        <f>F17+F28</f>
        <v>36.910000000000004</v>
      </c>
      <c r="G29" s="14">
        <f>G17+G28</f>
        <v>225.64000000000001</v>
      </c>
      <c r="H29" s="14">
        <f>H17+H28</f>
        <v>1517.08</v>
      </c>
      <c r="I29" s="11"/>
    </row>
    <row r="31" spans="3:8" ht="12.75">
      <c r="C31" s="108"/>
      <c r="D31" s="108"/>
      <c r="E31" s="108"/>
      <c r="F31" s="109"/>
      <c r="G31" s="109"/>
      <c r="H31" s="109"/>
    </row>
    <row r="32" spans="3:8" ht="12.75">
      <c r="C32" s="108"/>
      <c r="D32" s="110"/>
      <c r="E32" s="110"/>
      <c r="F32" s="110"/>
      <c r="G32" s="110"/>
      <c r="H32" s="110"/>
    </row>
    <row r="33" spans="4:8" ht="12.75">
      <c r="D33" s="39"/>
      <c r="E33" s="85"/>
      <c r="F33" s="85"/>
      <c r="G33" s="85"/>
      <c r="H33" s="85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2.08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75390625" style="1" customWidth="1"/>
    <col min="5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15</v>
      </c>
      <c r="D4" s="16">
        <v>4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76</v>
      </c>
      <c r="D10" s="51">
        <v>205</v>
      </c>
      <c r="E10" s="51">
        <v>5.2</v>
      </c>
      <c r="F10" s="51">
        <v>6.6</v>
      </c>
      <c r="G10" s="51">
        <v>27.6</v>
      </c>
      <c r="H10" s="51">
        <v>190.6</v>
      </c>
      <c r="I10" s="48" t="s">
        <v>77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92">
        <v>119</v>
      </c>
    </row>
    <row r="12" spans="2:9" ht="12.75">
      <c r="B12" s="112"/>
      <c r="C12" s="49" t="s">
        <v>86</v>
      </c>
      <c r="D12" s="51">
        <v>200</v>
      </c>
      <c r="E12" s="51">
        <v>0.4</v>
      </c>
      <c r="F12" s="51">
        <v>0.6</v>
      </c>
      <c r="G12" s="51">
        <v>17.8</v>
      </c>
      <c r="H12" s="51">
        <v>78.6</v>
      </c>
      <c r="I12" s="48">
        <v>160</v>
      </c>
    </row>
    <row r="13" spans="2:9" ht="12.75">
      <c r="B13" s="112"/>
      <c r="C13" s="49" t="s">
        <v>75</v>
      </c>
      <c r="D13" s="51">
        <v>100</v>
      </c>
      <c r="E13" s="51">
        <v>0.9</v>
      </c>
      <c r="F13" s="51">
        <v>0</v>
      </c>
      <c r="G13" s="51">
        <v>8.6</v>
      </c>
      <c r="H13" s="51">
        <v>38</v>
      </c>
      <c r="I13" s="48">
        <v>137</v>
      </c>
    </row>
    <row r="14" spans="2:9" ht="12.75">
      <c r="B14" s="112"/>
      <c r="C14" s="49" t="s">
        <v>155</v>
      </c>
      <c r="D14" s="51">
        <v>60</v>
      </c>
      <c r="E14" s="51">
        <f>0.56*60/80</f>
        <v>0.42000000000000004</v>
      </c>
      <c r="F14" s="51">
        <f>5.28*60/80</f>
        <v>3.96</v>
      </c>
      <c r="G14" s="51">
        <f>58.4*60/80</f>
        <v>43.8</v>
      </c>
      <c r="H14" s="51">
        <f>241.6*60/80</f>
        <v>181.2</v>
      </c>
      <c r="I14" s="48">
        <v>162</v>
      </c>
    </row>
    <row r="15" spans="2:9" ht="12.75">
      <c r="B15" s="112"/>
      <c r="C15" s="5"/>
      <c r="D15" s="12"/>
      <c r="E15" s="12"/>
      <c r="F15" s="12"/>
      <c r="G15" s="12"/>
      <c r="H15" s="12"/>
      <c r="I15" s="89"/>
    </row>
    <row r="16" spans="2:9" ht="12.75">
      <c r="B16" s="112"/>
      <c r="C16" s="49" t="s">
        <v>134</v>
      </c>
      <c r="D16" s="51">
        <v>200</v>
      </c>
      <c r="E16" s="51">
        <v>0</v>
      </c>
      <c r="F16" s="51">
        <v>0</v>
      </c>
      <c r="G16" s="51">
        <v>22.8</v>
      </c>
      <c r="H16" s="51">
        <v>46</v>
      </c>
      <c r="I16" s="90">
        <v>107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815</v>
      </c>
      <c r="E18" s="13">
        <f>SUM(E9:E17)</f>
        <v>10.47</v>
      </c>
      <c r="F18" s="13">
        <f>SUM(F9:F17)</f>
        <v>11.509999999999998</v>
      </c>
      <c r="G18" s="13">
        <f>SUM(G9:G17)</f>
        <v>142.7</v>
      </c>
      <c r="H18" s="14">
        <f>SUM(H9:H17)</f>
        <v>654.4000000000001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55" t="s">
        <v>35</v>
      </c>
      <c r="D20" s="61">
        <v>60</v>
      </c>
      <c r="E20" s="61">
        <f>2.2*60/100</f>
        <v>1.32</v>
      </c>
      <c r="F20" s="61">
        <f>0.4*60/100</f>
        <v>0.24</v>
      </c>
      <c r="G20" s="61">
        <f>14.7*60/100</f>
        <v>8.82</v>
      </c>
      <c r="H20" s="61">
        <f>68*60/100</f>
        <v>40.8</v>
      </c>
      <c r="I20" s="95">
        <v>133</v>
      </c>
    </row>
    <row r="21" spans="2:9" ht="12.75">
      <c r="B21" s="112"/>
      <c r="C21" s="55" t="s">
        <v>60</v>
      </c>
      <c r="D21" s="61">
        <v>250</v>
      </c>
      <c r="E21" s="61">
        <v>7.75</v>
      </c>
      <c r="F21" s="61">
        <v>7.75</v>
      </c>
      <c r="G21" s="61">
        <v>13.75</v>
      </c>
      <c r="H21" s="61">
        <v>157.25</v>
      </c>
      <c r="I21" s="95">
        <v>138</v>
      </c>
    </row>
    <row r="22" spans="2:9" ht="25.5">
      <c r="B22" s="112"/>
      <c r="C22" s="55" t="s">
        <v>61</v>
      </c>
      <c r="D22" s="61">
        <v>90</v>
      </c>
      <c r="E22" s="61">
        <f>25.4*90/100</f>
        <v>22.86</v>
      </c>
      <c r="F22" s="61">
        <f>6.3*90/100</f>
        <v>5.67</v>
      </c>
      <c r="G22" s="61">
        <f>1.8*90/100</f>
        <v>1.62</v>
      </c>
      <c r="H22" s="61">
        <f>165*90/100</f>
        <v>148.5</v>
      </c>
      <c r="I22" s="95">
        <v>151</v>
      </c>
    </row>
    <row r="23" spans="2:9" ht="25.5">
      <c r="B23" s="112"/>
      <c r="C23" s="55" t="s">
        <v>62</v>
      </c>
      <c r="D23" s="61">
        <v>150</v>
      </c>
      <c r="E23" s="61">
        <f>4.32*150/180</f>
        <v>3.6</v>
      </c>
      <c r="F23" s="61">
        <f>5.94*150/180</f>
        <v>4.950000000000001</v>
      </c>
      <c r="G23" s="61">
        <f>29.52*150/180</f>
        <v>24.6</v>
      </c>
      <c r="H23" s="61">
        <f>187.92*150/180</f>
        <v>156.59999999999997</v>
      </c>
      <c r="I23" s="95">
        <v>55</v>
      </c>
    </row>
    <row r="24" spans="2:9" ht="12.75">
      <c r="B24" s="112"/>
      <c r="C24" s="55" t="s">
        <v>23</v>
      </c>
      <c r="D24" s="61">
        <v>50</v>
      </c>
      <c r="E24" s="61">
        <v>3.55</v>
      </c>
      <c r="F24" s="61">
        <v>0.35</v>
      </c>
      <c r="G24" s="61">
        <v>22.1</v>
      </c>
      <c r="H24" s="61">
        <v>120</v>
      </c>
      <c r="I24" s="95">
        <v>119</v>
      </c>
    </row>
    <row r="25" spans="2:9" ht="12.75">
      <c r="B25" s="112"/>
      <c r="C25" s="55" t="s">
        <v>24</v>
      </c>
      <c r="D25" s="61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38.25">
      <c r="B26" s="112"/>
      <c r="C26" s="55" t="s">
        <v>46</v>
      </c>
      <c r="D26" s="61">
        <v>200</v>
      </c>
      <c r="E26" s="61">
        <v>0</v>
      </c>
      <c r="F26" s="61">
        <v>0</v>
      </c>
      <c r="G26" s="61">
        <v>19.2</v>
      </c>
      <c r="H26" s="61">
        <v>76.8</v>
      </c>
      <c r="I26" s="95">
        <v>104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860</v>
      </c>
      <c r="E29" s="14">
        <f>SUM(E19:E28)</f>
        <v>42.5</v>
      </c>
      <c r="F29" s="14">
        <f>SUM(F19:F28)</f>
        <v>19.62</v>
      </c>
      <c r="G29" s="14">
        <f>SUM(G19:G28)</f>
        <v>112.41000000000001</v>
      </c>
      <c r="H29" s="14">
        <f>SUM(H19:H28)</f>
        <v>808.7299999999999</v>
      </c>
      <c r="I29" s="11"/>
    </row>
    <row r="30" spans="2:9" ht="12.75">
      <c r="B30" s="8" t="s">
        <v>14</v>
      </c>
      <c r="C30" s="7"/>
      <c r="D30" s="14">
        <f>D18+D29</f>
        <v>1675</v>
      </c>
      <c r="E30" s="14">
        <f>E18+E29</f>
        <v>52.97</v>
      </c>
      <c r="F30" s="14">
        <f>F18+F29</f>
        <v>31.13</v>
      </c>
      <c r="G30" s="14">
        <f>G18+G29</f>
        <v>255.11</v>
      </c>
      <c r="H30" s="14">
        <f>H18+H29</f>
        <v>1463.13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2.23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875" style="1" customWidth="1"/>
    <col min="4" max="4" width="10.25390625" style="1" customWidth="1"/>
    <col min="5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90</v>
      </c>
      <c r="D10" s="51">
        <v>205</v>
      </c>
      <c r="E10" s="51">
        <v>7.6</v>
      </c>
      <c r="F10" s="51">
        <v>7.4</v>
      </c>
      <c r="G10" s="51">
        <v>30.8</v>
      </c>
      <c r="H10" s="51">
        <v>220.8</v>
      </c>
      <c r="I10" s="48">
        <v>168</v>
      </c>
    </row>
    <row r="11" spans="2:9" ht="12.75">
      <c r="B11" s="112"/>
      <c r="C11" s="49" t="s">
        <v>72</v>
      </c>
      <c r="D11" s="51">
        <v>10</v>
      </c>
      <c r="E11" s="51">
        <v>0.08</v>
      </c>
      <c r="F11" s="51">
        <v>7.25</v>
      </c>
      <c r="G11" s="51">
        <v>0.13</v>
      </c>
      <c r="H11" s="51">
        <v>66.09</v>
      </c>
      <c r="I11" s="91" t="s">
        <v>73</v>
      </c>
    </row>
    <row r="12" spans="2:9" ht="12.75">
      <c r="B12" s="112"/>
      <c r="C12" s="49" t="s">
        <v>23</v>
      </c>
      <c r="D12" s="51">
        <v>50</v>
      </c>
      <c r="E12" s="51">
        <v>3.55</v>
      </c>
      <c r="F12" s="51">
        <v>0.35</v>
      </c>
      <c r="G12" s="51">
        <v>22.1</v>
      </c>
      <c r="H12" s="51">
        <v>120</v>
      </c>
      <c r="I12" s="92">
        <v>119</v>
      </c>
    </row>
    <row r="13" spans="2:9" ht="12.75">
      <c r="B13" s="112"/>
      <c r="C13" s="49" t="s">
        <v>74</v>
      </c>
      <c r="D13" s="51">
        <v>200</v>
      </c>
      <c r="E13" s="51">
        <v>0.4</v>
      </c>
      <c r="F13" s="51">
        <v>0.2</v>
      </c>
      <c r="G13" s="51">
        <v>11.2</v>
      </c>
      <c r="H13" s="51">
        <v>47</v>
      </c>
      <c r="I13" s="48">
        <v>158</v>
      </c>
    </row>
    <row r="14" spans="2:9" ht="12.75">
      <c r="B14" s="112"/>
      <c r="C14" s="49" t="s">
        <v>82</v>
      </c>
      <c r="D14" s="51">
        <v>100</v>
      </c>
      <c r="E14" s="51">
        <v>0.4</v>
      </c>
      <c r="F14" s="51">
        <v>0.3</v>
      </c>
      <c r="G14" s="51">
        <v>8.2</v>
      </c>
      <c r="H14" s="51">
        <v>36.6</v>
      </c>
      <c r="I14" s="48">
        <v>25</v>
      </c>
    </row>
    <row r="15" spans="2:9" ht="12.75">
      <c r="B15" s="112"/>
      <c r="C15" s="106"/>
      <c r="D15" s="105"/>
      <c r="E15" s="105"/>
      <c r="F15" s="105"/>
      <c r="G15" s="105"/>
      <c r="H15" s="105"/>
      <c r="I15" s="100"/>
    </row>
    <row r="16" spans="2:9" ht="12.75">
      <c r="B16" s="112"/>
      <c r="C16" s="49" t="s">
        <v>146</v>
      </c>
      <c r="D16" s="51">
        <v>200</v>
      </c>
      <c r="E16" s="51">
        <v>5.8</v>
      </c>
      <c r="F16" s="51">
        <v>5</v>
      </c>
      <c r="G16" s="51">
        <v>8</v>
      </c>
      <c r="H16" s="51">
        <v>101</v>
      </c>
      <c r="I16" s="48" t="s">
        <v>147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765</v>
      </c>
      <c r="E18" s="13">
        <f>SUM(E9:E17)</f>
        <v>17.830000000000002</v>
      </c>
      <c r="F18" s="13">
        <f>SUM(F9:F17)</f>
        <v>20.5</v>
      </c>
      <c r="G18" s="13">
        <f>SUM(G9:G17)</f>
        <v>80.43</v>
      </c>
      <c r="H18" s="14">
        <f>SUM(H9:H17)</f>
        <v>591.49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55" t="s">
        <v>31</v>
      </c>
      <c r="D20" s="61">
        <v>60</v>
      </c>
      <c r="E20" s="61">
        <f>2*60/100</f>
        <v>1.2</v>
      </c>
      <c r="F20" s="61">
        <f>7.1*60/100</f>
        <v>4.26</v>
      </c>
      <c r="G20" s="61">
        <f>10.3*60/100</f>
        <v>6.18</v>
      </c>
      <c r="H20" s="61">
        <f>113.2*60/100</f>
        <v>67.92</v>
      </c>
      <c r="I20" s="95">
        <v>13</v>
      </c>
    </row>
    <row r="21" spans="2:9" ht="12.75">
      <c r="B21" s="112"/>
      <c r="C21" s="55" t="s">
        <v>63</v>
      </c>
      <c r="D21" s="61">
        <v>250</v>
      </c>
      <c r="E21" s="61">
        <v>6.25</v>
      </c>
      <c r="F21" s="61">
        <v>9.5</v>
      </c>
      <c r="G21" s="61">
        <v>16</v>
      </c>
      <c r="H21" s="61">
        <v>174.75</v>
      </c>
      <c r="I21" s="95">
        <v>40</v>
      </c>
    </row>
    <row r="22" spans="2:9" ht="12.75">
      <c r="B22" s="112"/>
      <c r="C22" s="55" t="s">
        <v>64</v>
      </c>
      <c r="D22" s="61">
        <v>280</v>
      </c>
      <c r="E22" s="61">
        <v>30.24</v>
      </c>
      <c r="F22" s="61">
        <v>17.08</v>
      </c>
      <c r="G22" s="61">
        <v>14.56</v>
      </c>
      <c r="H22" s="61">
        <v>331.8</v>
      </c>
      <c r="I22" s="95">
        <v>178</v>
      </c>
    </row>
    <row r="23" spans="2:9" ht="12.75">
      <c r="B23" s="112"/>
      <c r="C23" s="55" t="s">
        <v>23</v>
      </c>
      <c r="D23" s="61">
        <v>50</v>
      </c>
      <c r="E23" s="61">
        <v>3.55</v>
      </c>
      <c r="F23" s="61">
        <v>0.35</v>
      </c>
      <c r="G23" s="61">
        <v>22.1</v>
      </c>
      <c r="H23" s="61">
        <v>120</v>
      </c>
      <c r="I23" s="95">
        <v>119</v>
      </c>
    </row>
    <row r="24" spans="2:9" ht="12.75">
      <c r="B24" s="112"/>
      <c r="C24" s="55" t="s">
        <v>24</v>
      </c>
      <c r="D24" s="61">
        <v>60</v>
      </c>
      <c r="E24" s="61">
        <v>3.42</v>
      </c>
      <c r="F24" s="61">
        <v>0.66</v>
      </c>
      <c r="G24" s="61">
        <v>22.32</v>
      </c>
      <c r="H24" s="61">
        <v>108.78</v>
      </c>
      <c r="I24" s="95">
        <v>120</v>
      </c>
    </row>
    <row r="25" spans="2:9" ht="25.5">
      <c r="B25" s="112"/>
      <c r="C25" s="55" t="s">
        <v>163</v>
      </c>
      <c r="D25" s="61">
        <v>200</v>
      </c>
      <c r="E25" s="61">
        <v>0.4</v>
      </c>
      <c r="F25" s="61">
        <v>0</v>
      </c>
      <c r="G25" s="61">
        <v>28.6</v>
      </c>
      <c r="H25" s="61">
        <v>110</v>
      </c>
      <c r="I25" s="95">
        <v>105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900</v>
      </c>
      <c r="E29" s="14">
        <f>SUM(E19:E28)</f>
        <v>45.059999999999995</v>
      </c>
      <c r="F29" s="14">
        <f>SUM(F19:F28)</f>
        <v>31.849999999999998</v>
      </c>
      <c r="G29" s="14">
        <f>SUM(G19:G28)</f>
        <v>109.75999999999999</v>
      </c>
      <c r="H29" s="14">
        <f>SUM(H19:H28)</f>
        <v>913.25</v>
      </c>
      <c r="I29" s="11"/>
    </row>
    <row r="30" spans="2:9" ht="12.75">
      <c r="B30" s="8" t="s">
        <v>14</v>
      </c>
      <c r="C30" s="7"/>
      <c r="D30" s="14">
        <f>D18+D29</f>
        <v>1665</v>
      </c>
      <c r="E30" s="14">
        <f>E18+E29</f>
        <v>62.89</v>
      </c>
      <c r="F30" s="14">
        <f>F18+F29</f>
        <v>52.349999999999994</v>
      </c>
      <c r="G30" s="14">
        <f>G18+G29</f>
        <v>190.19</v>
      </c>
      <c r="H30" s="14">
        <f>H18+H29</f>
        <v>1504.74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9" ht="12.75">
      <c r="D34" s="39"/>
      <c r="E34" s="85"/>
      <c r="F34" s="85"/>
      <c r="G34" s="85"/>
      <c r="H34" s="85"/>
      <c r="I34" s="86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2.36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">
      <selection activeCell="C31" sqref="C31:H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875" style="1" customWidth="1"/>
    <col min="4" max="4" width="10.25390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89</v>
      </c>
      <c r="D10" s="51">
        <v>205</v>
      </c>
      <c r="E10" s="51">
        <v>6.4</v>
      </c>
      <c r="F10" s="51">
        <v>7</v>
      </c>
      <c r="G10" s="51">
        <v>33.4</v>
      </c>
      <c r="H10" s="51">
        <v>222</v>
      </c>
      <c r="I10" s="48">
        <v>169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92">
        <v>119</v>
      </c>
    </row>
    <row r="12" spans="2:9" ht="12.75">
      <c r="B12" s="112"/>
      <c r="C12" s="49" t="s">
        <v>81</v>
      </c>
      <c r="D12" s="51">
        <v>200</v>
      </c>
      <c r="E12" s="51">
        <v>0.2</v>
      </c>
      <c r="F12" s="51">
        <v>0</v>
      </c>
      <c r="G12" s="51">
        <v>11</v>
      </c>
      <c r="H12" s="51">
        <v>45.6</v>
      </c>
      <c r="I12" s="48">
        <v>113</v>
      </c>
    </row>
    <row r="13" spans="2:9" ht="12.75">
      <c r="B13" s="112"/>
      <c r="C13" s="49" t="s">
        <v>78</v>
      </c>
      <c r="D13" s="51">
        <v>100</v>
      </c>
      <c r="E13" s="51">
        <v>0.4</v>
      </c>
      <c r="F13" s="51">
        <v>0</v>
      </c>
      <c r="G13" s="51">
        <v>11.3</v>
      </c>
      <c r="H13" s="51">
        <v>46</v>
      </c>
      <c r="I13" s="48">
        <v>24</v>
      </c>
    </row>
    <row r="14" spans="2:9" ht="12.75">
      <c r="B14" s="112"/>
      <c r="C14" s="5"/>
      <c r="D14" s="12"/>
      <c r="E14" s="12"/>
      <c r="F14" s="12"/>
      <c r="G14" s="12"/>
      <c r="H14" s="12"/>
      <c r="I14" s="89"/>
    </row>
    <row r="15" spans="2:9" ht="12.75">
      <c r="B15" s="112"/>
      <c r="C15" s="49" t="s">
        <v>149</v>
      </c>
      <c r="D15" s="51">
        <v>200</v>
      </c>
      <c r="E15" s="51">
        <v>6</v>
      </c>
      <c r="F15" s="51">
        <v>6</v>
      </c>
      <c r="G15" s="51">
        <v>8.4</v>
      </c>
      <c r="H15" s="51">
        <v>145</v>
      </c>
      <c r="I15" s="48" t="s">
        <v>167</v>
      </c>
    </row>
    <row r="16" spans="2:9" ht="12.75">
      <c r="B16" s="112"/>
      <c r="C16" s="5"/>
      <c r="D16" s="12"/>
      <c r="E16" s="12"/>
      <c r="F16" s="12"/>
      <c r="G16" s="12"/>
      <c r="H16" s="12"/>
      <c r="I16" s="93"/>
    </row>
    <row r="17" spans="2:9" ht="12.75">
      <c r="B17" s="112"/>
      <c r="C17" s="7"/>
      <c r="D17" s="13">
        <f>SUM(D9:D16)</f>
        <v>755</v>
      </c>
      <c r="E17" s="13">
        <f>SUM(E9:E16)</f>
        <v>16.549999999999997</v>
      </c>
      <c r="F17" s="13">
        <f>SUM(F9:F16)</f>
        <v>13.35</v>
      </c>
      <c r="G17" s="13">
        <f>SUM(G9:G16)</f>
        <v>86.2</v>
      </c>
      <c r="H17" s="14">
        <f>SUM(H9:H16)</f>
        <v>578.6</v>
      </c>
      <c r="I17" s="94"/>
    </row>
    <row r="18" spans="2:9" ht="12.75">
      <c r="B18" s="8" t="s">
        <v>10</v>
      </c>
      <c r="C18" s="5"/>
      <c r="D18" s="12"/>
      <c r="E18" s="12"/>
      <c r="F18" s="12"/>
      <c r="G18" s="12"/>
      <c r="H18" s="12"/>
      <c r="I18" s="93"/>
    </row>
    <row r="19" spans="2:9" ht="12.75">
      <c r="B19" s="112" t="s">
        <v>12</v>
      </c>
      <c r="C19" s="55" t="s">
        <v>26</v>
      </c>
      <c r="D19" s="61">
        <v>15</v>
      </c>
      <c r="E19" s="61">
        <v>3.66</v>
      </c>
      <c r="F19" s="61">
        <v>3.54</v>
      </c>
      <c r="G19" s="61">
        <v>0</v>
      </c>
      <c r="H19" s="61">
        <v>46.5</v>
      </c>
      <c r="I19" s="95">
        <v>1</v>
      </c>
    </row>
    <row r="20" spans="2:9" ht="12.75">
      <c r="B20" s="112"/>
      <c r="C20" s="55" t="s">
        <v>65</v>
      </c>
      <c r="D20" s="61">
        <v>250</v>
      </c>
      <c r="E20" s="61">
        <v>7.75</v>
      </c>
      <c r="F20" s="61">
        <v>9.5</v>
      </c>
      <c r="G20" s="61">
        <v>11.5</v>
      </c>
      <c r="H20" s="61">
        <v>163.25</v>
      </c>
      <c r="I20" s="95">
        <v>1.45</v>
      </c>
    </row>
    <row r="21" spans="2:9" ht="15" customHeight="1">
      <c r="B21" s="112"/>
      <c r="C21" s="55" t="s">
        <v>66</v>
      </c>
      <c r="D21" s="61">
        <v>90</v>
      </c>
      <c r="E21" s="61">
        <f>18.4*90/100</f>
        <v>16.56</v>
      </c>
      <c r="F21" s="61">
        <f>15.8*90/100</f>
        <v>14.22</v>
      </c>
      <c r="G21" s="61">
        <f>13*200/250</f>
        <v>10.4</v>
      </c>
      <c r="H21" s="61">
        <f>167.7*200/250</f>
        <v>134.16</v>
      </c>
      <c r="I21" s="95">
        <v>84</v>
      </c>
    </row>
    <row r="22" spans="2:9" ht="12.75">
      <c r="B22" s="112"/>
      <c r="C22" s="55" t="s">
        <v>57</v>
      </c>
      <c r="D22" s="61">
        <v>150</v>
      </c>
      <c r="E22" s="61">
        <f>3.96*150/180</f>
        <v>3.3</v>
      </c>
      <c r="F22" s="61">
        <f>5.94*150/180</f>
        <v>4.950000000000001</v>
      </c>
      <c r="G22" s="61">
        <f>38.7*150/180</f>
        <v>32.25</v>
      </c>
      <c r="H22" s="61">
        <f>223.74*150/180</f>
        <v>186.45</v>
      </c>
      <c r="I22" s="95">
        <v>53</v>
      </c>
    </row>
    <row r="23" spans="2:9" ht="12.75">
      <c r="B23" s="112"/>
      <c r="C23" s="55" t="s">
        <v>164</v>
      </c>
      <c r="D23" s="61">
        <v>50</v>
      </c>
      <c r="E23" s="61">
        <v>3.55</v>
      </c>
      <c r="F23" s="61">
        <v>0.35</v>
      </c>
      <c r="G23" s="61">
        <v>22.1</v>
      </c>
      <c r="H23" s="61">
        <v>120</v>
      </c>
      <c r="I23" s="95">
        <v>119</v>
      </c>
    </row>
    <row r="24" spans="2:9" ht="12.75">
      <c r="B24" s="112"/>
      <c r="C24" s="55" t="s">
        <v>24</v>
      </c>
      <c r="D24" s="61">
        <v>60</v>
      </c>
      <c r="E24" s="61">
        <v>3.42</v>
      </c>
      <c r="F24" s="61">
        <v>0.66</v>
      </c>
      <c r="G24" s="61">
        <v>22.32</v>
      </c>
      <c r="H24" s="61">
        <v>108.78</v>
      </c>
      <c r="I24" s="95">
        <v>120</v>
      </c>
    </row>
    <row r="25" spans="2:9" ht="12.75">
      <c r="B25" s="112"/>
      <c r="C25" s="55" t="s">
        <v>67</v>
      </c>
      <c r="D25" s="61">
        <v>200</v>
      </c>
      <c r="E25" s="61">
        <v>0</v>
      </c>
      <c r="F25" s="61">
        <v>0</v>
      </c>
      <c r="G25" s="61">
        <v>22.8</v>
      </c>
      <c r="H25" s="61">
        <v>92</v>
      </c>
      <c r="I25" s="95">
        <v>107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7"/>
      <c r="D28" s="14">
        <f>SUM(D18:D27)</f>
        <v>815</v>
      </c>
      <c r="E28" s="14">
        <f>SUM(E18:E27)</f>
        <v>38.24</v>
      </c>
      <c r="F28" s="14">
        <f>SUM(F18:F27)</f>
        <v>33.22</v>
      </c>
      <c r="G28" s="14">
        <f>SUM(G18:G27)</f>
        <v>121.36999999999999</v>
      </c>
      <c r="H28" s="14">
        <f>SUM(H18:H27)</f>
        <v>851.1399999999999</v>
      </c>
      <c r="I28" s="11"/>
    </row>
    <row r="29" spans="2:9" ht="12.75">
      <c r="B29" s="8" t="s">
        <v>13</v>
      </c>
      <c r="C29" s="7"/>
      <c r="D29" s="14">
        <f>D17+D28</f>
        <v>1570</v>
      </c>
      <c r="E29" s="14">
        <f>E17+E28</f>
        <v>54.79</v>
      </c>
      <c r="F29" s="14">
        <f>F17+F28</f>
        <v>46.57</v>
      </c>
      <c r="G29" s="14">
        <f>G17+G28</f>
        <v>207.57</v>
      </c>
      <c r="H29" s="14">
        <f>H17+H28</f>
        <v>1429.7399999999998</v>
      </c>
      <c r="I29" s="11"/>
    </row>
    <row r="30" ht="12.75">
      <c r="B30" s="8" t="s">
        <v>14</v>
      </c>
    </row>
    <row r="31" spans="3:8" ht="12.75">
      <c r="C31" s="108"/>
      <c r="D31" s="108"/>
      <c r="E31" s="108"/>
      <c r="F31" s="109"/>
      <c r="G31" s="109"/>
      <c r="H31" s="109"/>
    </row>
    <row r="32" spans="3:8" ht="12.75">
      <c r="C32" s="108"/>
      <c r="D32" s="110"/>
      <c r="E32" s="110"/>
      <c r="F32" s="110"/>
      <c r="G32" s="110"/>
      <c r="H32" s="110"/>
    </row>
    <row r="33" spans="4:8" ht="12.75">
      <c r="D33" s="39"/>
      <c r="E33" s="85"/>
      <c r="F33" s="85"/>
      <c r="G33" s="85"/>
      <c r="H33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2.08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112"/>
      <c r="C10" s="82" t="s">
        <v>85</v>
      </c>
      <c r="D10" s="84">
        <v>250</v>
      </c>
      <c r="E10" s="51">
        <v>8</v>
      </c>
      <c r="F10" s="51">
        <v>6.5</v>
      </c>
      <c r="G10" s="51">
        <v>22.5</v>
      </c>
      <c r="H10" s="51">
        <v>181</v>
      </c>
      <c r="I10" s="48">
        <v>44</v>
      </c>
    </row>
    <row r="11" spans="2:9" ht="12.75">
      <c r="B11" s="112"/>
      <c r="C11" s="49" t="s">
        <v>72</v>
      </c>
      <c r="D11" s="84">
        <v>10</v>
      </c>
      <c r="E11" s="51">
        <v>0.08</v>
      </c>
      <c r="F11" s="51">
        <f>14.49/2</f>
        <v>7.245</v>
      </c>
      <c r="G11" s="51">
        <f>0.25*2</f>
        <v>0.5</v>
      </c>
      <c r="H11" s="51">
        <f>132.17/2</f>
        <v>66.085</v>
      </c>
      <c r="I11" s="91" t="s">
        <v>73</v>
      </c>
    </row>
    <row r="12" spans="2:9" ht="12.75">
      <c r="B12" s="112"/>
      <c r="C12" s="49" t="s">
        <v>23</v>
      </c>
      <c r="D12" s="84">
        <v>50</v>
      </c>
      <c r="E12" s="51">
        <v>3.55</v>
      </c>
      <c r="F12" s="51">
        <v>0.35</v>
      </c>
      <c r="G12" s="51">
        <v>22.1</v>
      </c>
      <c r="H12" s="51">
        <v>120</v>
      </c>
      <c r="I12" s="92">
        <v>119</v>
      </c>
    </row>
    <row r="13" spans="2:9" ht="12.75">
      <c r="B13" s="112"/>
      <c r="C13" s="49" t="s">
        <v>96</v>
      </c>
      <c r="D13" s="84">
        <v>200</v>
      </c>
      <c r="E13" s="51">
        <v>1.8</v>
      </c>
      <c r="F13" s="51">
        <v>1.2</v>
      </c>
      <c r="G13" s="51">
        <v>13.2</v>
      </c>
      <c r="H13" s="51">
        <v>69.9</v>
      </c>
      <c r="I13" s="48">
        <v>112</v>
      </c>
    </row>
    <row r="14" spans="2:9" ht="12.75">
      <c r="B14" s="112"/>
      <c r="C14" s="49" t="s">
        <v>75</v>
      </c>
      <c r="D14" s="84">
        <v>100</v>
      </c>
      <c r="E14" s="51">
        <v>0.9</v>
      </c>
      <c r="F14" s="51">
        <v>0</v>
      </c>
      <c r="G14" s="51">
        <v>8.6</v>
      </c>
      <c r="H14" s="51">
        <v>38</v>
      </c>
      <c r="I14" s="48">
        <v>137</v>
      </c>
    </row>
    <row r="15" spans="2:9" ht="12.75">
      <c r="B15" s="112"/>
      <c r="C15" s="106"/>
      <c r="D15" s="107"/>
      <c r="E15" s="105"/>
      <c r="F15" s="105"/>
      <c r="G15" s="105"/>
      <c r="H15" s="105"/>
      <c r="I15" s="100"/>
    </row>
    <row r="16" spans="2:9" ht="12.75">
      <c r="B16" s="112"/>
      <c r="C16" s="49" t="s">
        <v>134</v>
      </c>
      <c r="D16" s="51">
        <v>200</v>
      </c>
      <c r="E16" s="51">
        <v>0</v>
      </c>
      <c r="F16" s="51">
        <v>0</v>
      </c>
      <c r="G16" s="51">
        <v>22.8</v>
      </c>
      <c r="H16" s="51">
        <v>46</v>
      </c>
      <c r="I16" s="90">
        <v>107</v>
      </c>
    </row>
    <row r="17" spans="2:9" ht="12.75">
      <c r="B17" s="112"/>
      <c r="C17" s="5"/>
      <c r="D17" s="41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42">
        <f>SUM(D9:D17)</f>
        <v>810</v>
      </c>
      <c r="E18" s="13">
        <f>SUM(E9:E17)</f>
        <v>14.33</v>
      </c>
      <c r="F18" s="13">
        <f>SUM(F9:F17)</f>
        <v>15.295</v>
      </c>
      <c r="G18" s="13">
        <f>SUM(G9:G17)</f>
        <v>89.69999999999999</v>
      </c>
      <c r="H18" s="14">
        <f>SUM(H9:H17)</f>
        <v>520.985</v>
      </c>
      <c r="I18" s="94"/>
    </row>
    <row r="19" spans="2:9" ht="12.75">
      <c r="B19" s="112" t="s">
        <v>12</v>
      </c>
      <c r="C19" s="5"/>
      <c r="D19" s="41"/>
      <c r="E19" s="12"/>
      <c r="F19" s="12"/>
      <c r="G19" s="12"/>
      <c r="H19" s="12"/>
      <c r="I19" s="93"/>
    </row>
    <row r="20" spans="2:9" ht="12.75">
      <c r="B20" s="112"/>
      <c r="C20" s="55" t="s">
        <v>43</v>
      </c>
      <c r="D20" s="74">
        <v>60</v>
      </c>
      <c r="E20" s="61">
        <f>3.1*60/100</f>
        <v>1.86</v>
      </c>
      <c r="F20" s="61">
        <f>0.2*60/100</f>
        <v>0.12</v>
      </c>
      <c r="G20" s="61">
        <f>7.1*60/100</f>
        <v>4.26</v>
      </c>
      <c r="H20" s="61">
        <f>41*60/100</f>
        <v>24.6</v>
      </c>
      <c r="I20" s="95">
        <v>172</v>
      </c>
    </row>
    <row r="21" spans="2:9" ht="12.75">
      <c r="B21" s="112"/>
      <c r="C21" s="55" t="s">
        <v>36</v>
      </c>
      <c r="D21" s="74">
        <v>250</v>
      </c>
      <c r="E21" s="61">
        <v>7.5</v>
      </c>
      <c r="F21" s="61">
        <v>6.75</v>
      </c>
      <c r="G21" s="61">
        <v>13.5</v>
      </c>
      <c r="H21" s="61">
        <v>144.5</v>
      </c>
      <c r="I21" s="95">
        <v>37</v>
      </c>
    </row>
    <row r="22" spans="2:9" ht="12.75">
      <c r="B22" s="112"/>
      <c r="C22" s="55" t="s">
        <v>27</v>
      </c>
      <c r="D22" s="74">
        <v>90</v>
      </c>
      <c r="E22" s="61">
        <f>20.68*90/110</f>
        <v>16.92</v>
      </c>
      <c r="F22" s="61">
        <f>7.81*90/110</f>
        <v>6.39</v>
      </c>
      <c r="G22" s="61">
        <f>4.18*90/110</f>
        <v>3.42</v>
      </c>
      <c r="H22" s="61">
        <f>169.62*90/110</f>
        <v>138.78</v>
      </c>
      <c r="I22" s="95">
        <v>89</v>
      </c>
    </row>
    <row r="23" spans="2:9" ht="12.75">
      <c r="B23" s="112"/>
      <c r="C23" s="55" t="s">
        <v>47</v>
      </c>
      <c r="D23" s="74">
        <v>150</v>
      </c>
      <c r="E23" s="61">
        <f>7.74*150/180</f>
        <v>6.45</v>
      </c>
      <c r="F23" s="61">
        <f>4.86*150/180</f>
        <v>4.05</v>
      </c>
      <c r="G23" s="61">
        <f>48.24*150/180</f>
        <v>40.2</v>
      </c>
      <c r="H23" s="61">
        <f>268.38*150/180</f>
        <v>223.65</v>
      </c>
      <c r="I23" s="95">
        <v>64</v>
      </c>
    </row>
    <row r="24" spans="2:9" ht="12.75">
      <c r="B24" s="112"/>
      <c r="C24" s="55" t="s">
        <v>165</v>
      </c>
      <c r="D24" s="74">
        <v>50</v>
      </c>
      <c r="E24" s="61">
        <v>3.55</v>
      </c>
      <c r="F24" s="61">
        <v>0.35</v>
      </c>
      <c r="G24" s="61">
        <v>22.1</v>
      </c>
      <c r="H24" s="61">
        <v>120</v>
      </c>
      <c r="I24" s="95">
        <v>119</v>
      </c>
    </row>
    <row r="25" spans="2:9" ht="12.75">
      <c r="B25" s="112"/>
      <c r="C25" s="55" t="s">
        <v>24</v>
      </c>
      <c r="D25" s="74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25.5">
      <c r="B26" s="112"/>
      <c r="C26" s="55" t="s">
        <v>68</v>
      </c>
      <c r="D26" s="74">
        <v>200</v>
      </c>
      <c r="E26" s="61">
        <v>0.2</v>
      </c>
      <c r="F26" s="61">
        <v>0</v>
      </c>
      <c r="G26" s="61">
        <v>22.8</v>
      </c>
      <c r="H26" s="61">
        <v>93</v>
      </c>
      <c r="I26" s="95">
        <v>97</v>
      </c>
    </row>
    <row r="27" spans="2:9" ht="12.75">
      <c r="B27" s="112"/>
      <c r="C27" s="5"/>
      <c r="D27" s="41"/>
      <c r="E27" s="12"/>
      <c r="F27" s="12"/>
      <c r="G27" s="12"/>
      <c r="H27" s="12"/>
      <c r="I27" s="10"/>
    </row>
    <row r="28" spans="2:9" ht="12.75">
      <c r="B28" s="112"/>
      <c r="C28" s="5"/>
      <c r="D28" s="41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43">
        <f>SUM(D19:D28)</f>
        <v>860</v>
      </c>
      <c r="E29" s="14">
        <f>SUM(E19:E28)</f>
        <v>39.900000000000006</v>
      </c>
      <c r="F29" s="14">
        <f>SUM(F19:F28)</f>
        <v>18.32</v>
      </c>
      <c r="G29" s="14">
        <f>SUM(G19:G28)</f>
        <v>128.60000000000002</v>
      </c>
      <c r="H29" s="14">
        <f>SUM(H19:H28)</f>
        <v>853.31</v>
      </c>
      <c r="I29" s="11"/>
    </row>
    <row r="30" spans="2:9" ht="12.75">
      <c r="B30" s="8" t="s">
        <v>14</v>
      </c>
      <c r="C30" s="7"/>
      <c r="D30" s="43">
        <f>D18+D29</f>
        <v>1670</v>
      </c>
      <c r="E30" s="14">
        <f>E18+E29</f>
        <v>54.230000000000004</v>
      </c>
      <c r="F30" s="14">
        <f>F18+F29</f>
        <v>33.615</v>
      </c>
      <c r="G30" s="14">
        <f>G18+G29</f>
        <v>218.3</v>
      </c>
      <c r="H30" s="14">
        <f>H18+H29</f>
        <v>1374.295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2.03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106</v>
      </c>
      <c r="D10" s="50">
        <v>205</v>
      </c>
      <c r="E10" s="51">
        <v>9.1</v>
      </c>
      <c r="F10" s="51">
        <v>14.6</v>
      </c>
      <c r="G10" s="51">
        <v>40</v>
      </c>
      <c r="H10" s="51">
        <v>306.6</v>
      </c>
      <c r="I10" s="48" t="s">
        <v>107</v>
      </c>
    </row>
    <row r="11" spans="2:9" ht="12.75">
      <c r="B11" s="112"/>
      <c r="C11" s="75" t="s">
        <v>108</v>
      </c>
      <c r="D11" s="76" t="s">
        <v>109</v>
      </c>
      <c r="E11" s="51">
        <v>2.16</v>
      </c>
      <c r="F11" s="51">
        <v>0.81</v>
      </c>
      <c r="G11" s="51">
        <v>14.73</v>
      </c>
      <c r="H11" s="51">
        <v>60.52</v>
      </c>
      <c r="I11" s="77">
        <v>121</v>
      </c>
    </row>
    <row r="12" spans="2:9" ht="12.75">
      <c r="B12" s="112"/>
      <c r="C12" s="52" t="s">
        <v>110</v>
      </c>
      <c r="D12" s="53">
        <v>200</v>
      </c>
      <c r="E12" s="54">
        <v>6.2</v>
      </c>
      <c r="F12" s="54">
        <v>4.8</v>
      </c>
      <c r="G12" s="54">
        <v>24</v>
      </c>
      <c r="H12" s="47">
        <v>164.6</v>
      </c>
      <c r="I12" s="78">
        <v>161</v>
      </c>
    </row>
    <row r="13" spans="2:9" ht="12.75">
      <c r="B13" s="112"/>
      <c r="C13" s="79" t="s">
        <v>111</v>
      </c>
      <c r="D13" s="53">
        <v>100</v>
      </c>
      <c r="E13" s="80">
        <v>0.4</v>
      </c>
      <c r="F13" s="80">
        <v>0</v>
      </c>
      <c r="G13" s="80">
        <v>11.3</v>
      </c>
      <c r="H13" s="80">
        <v>46</v>
      </c>
      <c r="I13" s="81">
        <v>24</v>
      </c>
    </row>
    <row r="14" spans="2:9" ht="12.75">
      <c r="B14" s="112"/>
      <c r="C14" s="49" t="s">
        <v>148</v>
      </c>
      <c r="D14" s="53">
        <v>40</v>
      </c>
      <c r="E14" s="54">
        <f>4.38*40/60</f>
        <v>2.92</v>
      </c>
      <c r="F14" s="54">
        <f>7.98*40/60</f>
        <v>5.320000000000001</v>
      </c>
      <c r="G14" s="54">
        <f>29.22*40/60</f>
        <v>19.48</v>
      </c>
      <c r="H14" s="47">
        <f>254.22*40/60</f>
        <v>169.48</v>
      </c>
      <c r="I14" s="77">
        <v>162</v>
      </c>
    </row>
    <row r="15" spans="2:9" ht="12.75">
      <c r="B15" s="112"/>
      <c r="C15" s="106"/>
      <c r="D15" s="97"/>
      <c r="E15" s="98"/>
      <c r="F15" s="98"/>
      <c r="G15" s="98"/>
      <c r="H15" s="99"/>
      <c r="I15" s="101"/>
    </row>
    <row r="16" spans="2:9" ht="12.75">
      <c r="B16" s="112"/>
      <c r="C16" s="49" t="s">
        <v>149</v>
      </c>
      <c r="D16" s="51">
        <v>200</v>
      </c>
      <c r="E16" s="51">
        <v>6</v>
      </c>
      <c r="F16" s="51">
        <v>6</v>
      </c>
      <c r="G16" s="51">
        <v>8.4</v>
      </c>
      <c r="H16" s="51">
        <v>145</v>
      </c>
      <c r="I16" s="48" t="s">
        <v>159</v>
      </c>
    </row>
    <row r="17" spans="2:9" ht="12.75">
      <c r="B17" s="112"/>
      <c r="C17" s="5"/>
      <c r="D17" s="12"/>
      <c r="E17" s="12"/>
      <c r="F17" s="12"/>
      <c r="G17" s="12"/>
      <c r="H17" s="12"/>
      <c r="I17" s="10"/>
    </row>
    <row r="18" spans="2:9" ht="12.75">
      <c r="B18" s="8" t="s">
        <v>10</v>
      </c>
      <c r="C18" s="7"/>
      <c r="D18" s="13">
        <f>SUM(D9:D17)</f>
        <v>745</v>
      </c>
      <c r="E18" s="13">
        <f>SUM(E9:E17)</f>
        <v>26.78</v>
      </c>
      <c r="F18" s="13">
        <f>SUM(F9:F17)</f>
        <v>31.53</v>
      </c>
      <c r="G18" s="13">
        <f>SUM(G9:G17)</f>
        <v>117.91000000000001</v>
      </c>
      <c r="H18" s="14">
        <f>SUM(H9:H17)</f>
        <v>892.2</v>
      </c>
      <c r="I18" s="11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10"/>
    </row>
    <row r="20" spans="2:9" ht="12.75">
      <c r="B20" s="112"/>
      <c r="C20" s="55" t="s">
        <v>112</v>
      </c>
      <c r="D20" s="68">
        <v>60</v>
      </c>
      <c r="E20" s="61">
        <f>1.1*60/100</f>
        <v>0.66</v>
      </c>
      <c r="F20" s="61">
        <f>0.2*60/100</f>
        <v>0.12</v>
      </c>
      <c r="G20" s="61">
        <f>3.8*60/100</f>
        <v>2.28</v>
      </c>
      <c r="H20" s="61">
        <f>23*60/100</f>
        <v>13.8</v>
      </c>
      <c r="I20" s="69">
        <v>29</v>
      </c>
    </row>
    <row r="21" spans="2:9" ht="12.75">
      <c r="B21" s="112"/>
      <c r="C21" s="55" t="s">
        <v>113</v>
      </c>
      <c r="D21" s="68">
        <v>250</v>
      </c>
      <c r="E21" s="61">
        <v>6.25</v>
      </c>
      <c r="F21" s="61">
        <v>10.75</v>
      </c>
      <c r="G21" s="61">
        <v>15.75</v>
      </c>
      <c r="H21" s="61">
        <v>184.75</v>
      </c>
      <c r="I21" s="69">
        <v>35</v>
      </c>
    </row>
    <row r="22" spans="2:9" ht="12.75">
      <c r="B22" s="112"/>
      <c r="C22" s="55" t="s">
        <v>114</v>
      </c>
      <c r="D22" s="60">
        <v>90</v>
      </c>
      <c r="E22" s="61">
        <f>9.6*90/60</f>
        <v>14.4</v>
      </c>
      <c r="F22" s="61">
        <f>13.6*90/60</f>
        <v>20.4</v>
      </c>
      <c r="G22" s="61">
        <f>5.9*60/90</f>
        <v>3.933333333333333</v>
      </c>
      <c r="H22" s="61">
        <f>284.4*90/60</f>
        <v>426.59999999999997</v>
      </c>
      <c r="I22" s="70">
        <v>91</v>
      </c>
    </row>
    <row r="23" spans="2:9" ht="12.75">
      <c r="B23" s="112"/>
      <c r="C23" s="55" t="s">
        <v>55</v>
      </c>
      <c r="D23" s="60">
        <v>150</v>
      </c>
      <c r="E23" s="61">
        <f>4.4*150/200</f>
        <v>3.3</v>
      </c>
      <c r="F23" s="61">
        <f>10.4*150/200</f>
        <v>7.8</v>
      </c>
      <c r="G23" s="61">
        <f>29.8*150/200</f>
        <v>22.35</v>
      </c>
      <c r="H23" s="61">
        <f>230.8*150/200</f>
        <v>173.1</v>
      </c>
      <c r="I23" s="71">
        <v>50</v>
      </c>
    </row>
    <row r="24" spans="2:9" ht="12.75">
      <c r="B24" s="112"/>
      <c r="C24" s="55" t="s">
        <v>104</v>
      </c>
      <c r="D24" s="60">
        <v>45</v>
      </c>
      <c r="E24" s="61">
        <v>3.6</v>
      </c>
      <c r="F24" s="61">
        <v>0.6</v>
      </c>
      <c r="G24" s="61">
        <v>23.7</v>
      </c>
      <c r="H24" s="61">
        <v>116.1</v>
      </c>
      <c r="I24" s="70">
        <v>119</v>
      </c>
    </row>
    <row r="25" spans="2:9" ht="12.75">
      <c r="B25" s="112"/>
      <c r="C25" s="55" t="s">
        <v>28</v>
      </c>
      <c r="D25" s="64">
        <v>200</v>
      </c>
      <c r="E25" s="65">
        <v>0.2</v>
      </c>
      <c r="F25" s="65">
        <v>0</v>
      </c>
      <c r="G25" s="65">
        <v>16.7</v>
      </c>
      <c r="H25" s="66">
        <v>67.72</v>
      </c>
      <c r="I25" s="70">
        <v>100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795</v>
      </c>
      <c r="E29" s="14">
        <f>SUM(E19:E28)</f>
        <v>28.410000000000004</v>
      </c>
      <c r="F29" s="14">
        <f>SUM(F19:F28)</f>
        <v>39.669999999999995</v>
      </c>
      <c r="G29" s="14">
        <f>SUM(G19:G28)</f>
        <v>84.71333333333334</v>
      </c>
      <c r="H29" s="14">
        <f>SUM(H19:H28)</f>
        <v>982.07</v>
      </c>
      <c r="I29" s="11"/>
    </row>
    <row r="30" spans="2:9" ht="12.75">
      <c r="B30" s="8" t="s">
        <v>14</v>
      </c>
      <c r="C30" s="7"/>
      <c r="D30" s="14">
        <f>D18+D29</f>
        <v>1540</v>
      </c>
      <c r="E30" s="14">
        <f>E18+E29</f>
        <v>55.190000000000005</v>
      </c>
      <c r="F30" s="14">
        <f>F18+F29</f>
        <v>71.19999999999999</v>
      </c>
      <c r="G30" s="14">
        <f>G18+G29</f>
        <v>202.62333333333333</v>
      </c>
      <c r="H30" s="14">
        <f>H18+H29</f>
        <v>1874.27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97" right="0.1968503937007874" top="0.2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zoomScalePageLayoutView="0" workbookViewId="0" topLeftCell="A1">
      <selection activeCell="N27" sqref="N27:N28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25390625" style="1" customWidth="1"/>
    <col min="4" max="4" width="10.25390625" style="1" customWidth="1"/>
    <col min="5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87</v>
      </c>
      <c r="D10" s="51">
        <v>205</v>
      </c>
      <c r="E10" s="51">
        <v>5.2</v>
      </c>
      <c r="F10" s="51">
        <v>6.6</v>
      </c>
      <c r="G10" s="51">
        <v>27.6</v>
      </c>
      <c r="H10" s="51">
        <v>190.6</v>
      </c>
      <c r="I10" s="91" t="s">
        <v>88</v>
      </c>
    </row>
    <row r="11" spans="2:9" ht="12.75">
      <c r="B11" s="112"/>
      <c r="C11" s="49" t="s">
        <v>26</v>
      </c>
      <c r="D11" s="51">
        <v>10</v>
      </c>
      <c r="E11" s="51">
        <v>2.44</v>
      </c>
      <c r="F11" s="51">
        <v>2.36</v>
      </c>
      <c r="G11" s="51">
        <v>0</v>
      </c>
      <c r="H11" s="51">
        <v>31</v>
      </c>
      <c r="I11" s="48">
        <v>1</v>
      </c>
    </row>
    <row r="12" spans="2:9" ht="12.75">
      <c r="B12" s="112"/>
      <c r="C12" s="49" t="s">
        <v>23</v>
      </c>
      <c r="D12" s="51">
        <v>50</v>
      </c>
      <c r="E12" s="51">
        <v>3.55</v>
      </c>
      <c r="F12" s="51">
        <v>0.35</v>
      </c>
      <c r="G12" s="51">
        <v>22.1</v>
      </c>
      <c r="H12" s="51">
        <v>120</v>
      </c>
      <c r="I12" s="92">
        <v>119</v>
      </c>
    </row>
    <row r="13" spans="2:9" ht="12.75">
      <c r="B13" s="112"/>
      <c r="C13" s="49" t="s">
        <v>110</v>
      </c>
      <c r="D13" s="51">
        <v>200</v>
      </c>
      <c r="E13" s="51">
        <v>6.2</v>
      </c>
      <c r="F13" s="51">
        <v>4.8</v>
      </c>
      <c r="G13" s="51">
        <v>24</v>
      </c>
      <c r="H13" s="51">
        <v>164.6</v>
      </c>
      <c r="I13" s="48">
        <v>114</v>
      </c>
    </row>
    <row r="14" spans="2:9" ht="12.75">
      <c r="B14" s="112"/>
      <c r="C14" s="49" t="s">
        <v>82</v>
      </c>
      <c r="D14" s="51">
        <v>100</v>
      </c>
      <c r="E14" s="51">
        <v>0.4</v>
      </c>
      <c r="F14" s="51">
        <v>0.3</v>
      </c>
      <c r="G14" s="51">
        <v>8.2</v>
      </c>
      <c r="H14" s="51">
        <v>36.6</v>
      </c>
      <c r="I14" s="48">
        <v>25</v>
      </c>
    </row>
    <row r="15" spans="2:9" ht="12.75">
      <c r="B15" s="112"/>
      <c r="C15" s="106"/>
      <c r="D15" s="105"/>
      <c r="E15" s="105"/>
      <c r="F15" s="105"/>
      <c r="G15" s="105"/>
      <c r="H15" s="105"/>
      <c r="I15" s="100"/>
    </row>
    <row r="16" spans="2:9" ht="12.75">
      <c r="B16" s="112"/>
      <c r="C16" s="49" t="s">
        <v>146</v>
      </c>
      <c r="D16" s="51">
        <v>200</v>
      </c>
      <c r="E16" s="51">
        <v>5.8</v>
      </c>
      <c r="F16" s="51">
        <v>5</v>
      </c>
      <c r="G16" s="51">
        <v>8</v>
      </c>
      <c r="H16" s="51">
        <v>101</v>
      </c>
      <c r="I16" s="48" t="s">
        <v>147</v>
      </c>
    </row>
    <row r="17" spans="2:9" ht="12.75">
      <c r="B17" s="112"/>
      <c r="C17" s="5"/>
      <c r="D17" s="12"/>
      <c r="E17" s="12"/>
      <c r="F17" s="12"/>
      <c r="G17" s="12"/>
      <c r="H17" s="12"/>
      <c r="I17" s="89"/>
    </row>
    <row r="18" spans="2:9" ht="12.75">
      <c r="B18" s="112"/>
      <c r="C18" s="7"/>
      <c r="D18" s="13">
        <f>SUM(D9:D17)</f>
        <v>765</v>
      </c>
      <c r="E18" s="13">
        <f>SUM(E9:E17)</f>
        <v>23.59</v>
      </c>
      <c r="F18" s="13">
        <f>SUM(F9:F17)</f>
        <v>19.41</v>
      </c>
      <c r="G18" s="13">
        <f>SUM(G9:G17)</f>
        <v>89.9</v>
      </c>
      <c r="H18" s="14">
        <f>SUM(H9:H17)</f>
        <v>643.8000000000001</v>
      </c>
      <c r="I18" s="94"/>
    </row>
    <row r="19" spans="2:9" ht="12.75">
      <c r="B19" s="8" t="s">
        <v>10</v>
      </c>
      <c r="C19" s="5"/>
      <c r="D19" s="12"/>
      <c r="E19" s="12"/>
      <c r="F19" s="12"/>
      <c r="G19" s="12"/>
      <c r="H19" s="12"/>
      <c r="I19" s="93"/>
    </row>
    <row r="20" spans="2:9" ht="12.75">
      <c r="B20" s="112" t="s">
        <v>12</v>
      </c>
      <c r="C20" s="55" t="s">
        <v>69</v>
      </c>
      <c r="D20" s="61">
        <v>60</v>
      </c>
      <c r="E20" s="61">
        <f>1.3*60/100</f>
        <v>0.78</v>
      </c>
      <c r="F20" s="61">
        <f>10.2*60/100</f>
        <v>6.12</v>
      </c>
      <c r="G20" s="61">
        <f>9.2*60/100</f>
        <v>5.52</v>
      </c>
      <c r="H20" s="61">
        <f>132.5*60/100</f>
        <v>79.5</v>
      </c>
      <c r="I20" s="95">
        <v>132</v>
      </c>
    </row>
    <row r="21" spans="2:9" ht="12.75">
      <c r="B21" s="112"/>
      <c r="C21" s="55" t="s">
        <v>45</v>
      </c>
      <c r="D21" s="61">
        <v>250</v>
      </c>
      <c r="E21" s="61">
        <v>8</v>
      </c>
      <c r="F21" s="61">
        <v>7.75</v>
      </c>
      <c r="G21" s="61">
        <v>15.25</v>
      </c>
      <c r="H21" s="61">
        <v>163.25</v>
      </c>
      <c r="I21" s="95">
        <v>33</v>
      </c>
    </row>
    <row r="22" spans="2:9" ht="12.75">
      <c r="B22" s="112"/>
      <c r="C22" s="55" t="s">
        <v>33</v>
      </c>
      <c r="D22" s="61">
        <v>90</v>
      </c>
      <c r="E22" s="61">
        <f>20.35*90/110</f>
        <v>16.650000000000002</v>
      </c>
      <c r="F22" s="61">
        <f>9.79*90/110</f>
        <v>8.01</v>
      </c>
      <c r="G22" s="61">
        <f>5.94*90/110</f>
        <v>4.86</v>
      </c>
      <c r="H22" s="61">
        <f>193.38*90/110</f>
        <v>158.22</v>
      </c>
      <c r="I22" s="95">
        <v>126</v>
      </c>
    </row>
    <row r="23" spans="2:9" ht="25.5">
      <c r="B23" s="112"/>
      <c r="C23" s="55" t="s">
        <v>70</v>
      </c>
      <c r="D23" s="61">
        <v>150</v>
      </c>
      <c r="E23" s="61">
        <f>3.96*150/180</f>
        <v>3.3</v>
      </c>
      <c r="F23" s="61">
        <f>4.68*150/180</f>
        <v>3.9</v>
      </c>
      <c r="G23" s="61">
        <f>30.78*150/180</f>
        <v>25.65</v>
      </c>
      <c r="H23" s="61">
        <f>182.62*150/180</f>
        <v>152.18333333333334</v>
      </c>
      <c r="I23" s="95">
        <v>51</v>
      </c>
    </row>
    <row r="24" spans="2:9" ht="12.75">
      <c r="B24" s="112"/>
      <c r="C24" s="55" t="s">
        <v>164</v>
      </c>
      <c r="D24" s="61">
        <v>50</v>
      </c>
      <c r="E24" s="61">
        <v>3.55</v>
      </c>
      <c r="F24" s="61">
        <v>0.35</v>
      </c>
      <c r="G24" s="61">
        <v>22.1</v>
      </c>
      <c r="H24" s="61">
        <v>120</v>
      </c>
      <c r="I24" s="95">
        <v>119</v>
      </c>
    </row>
    <row r="25" spans="2:9" ht="12.75">
      <c r="B25" s="112"/>
      <c r="C25" s="55" t="s">
        <v>24</v>
      </c>
      <c r="D25" s="61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25.5">
      <c r="B26" s="112"/>
      <c r="C26" s="55" t="s">
        <v>71</v>
      </c>
      <c r="D26" s="61">
        <v>200</v>
      </c>
      <c r="E26" s="61">
        <v>0.14</v>
      </c>
      <c r="F26" s="61">
        <v>0</v>
      </c>
      <c r="G26" s="61">
        <v>16.46</v>
      </c>
      <c r="H26" s="61">
        <v>66.4</v>
      </c>
      <c r="I26" s="95">
        <v>156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112"/>
      <c r="C29" s="7"/>
      <c r="D29" s="14">
        <f>SUM(D19:D28)</f>
        <v>860</v>
      </c>
      <c r="E29" s="14">
        <f>SUM(E19:E28)</f>
        <v>35.84</v>
      </c>
      <c r="F29" s="14">
        <f>SUM(F19:F28)</f>
        <v>26.790000000000003</v>
      </c>
      <c r="G29" s="14">
        <f>SUM(G19:G28)</f>
        <v>112.16</v>
      </c>
      <c r="H29" s="14">
        <f>SUM(H19:H28)</f>
        <v>848.3333333333334</v>
      </c>
      <c r="I29" s="11"/>
    </row>
    <row r="30" spans="2:9" ht="12.75">
      <c r="B30" s="8" t="s">
        <v>13</v>
      </c>
      <c r="C30" s="7"/>
      <c r="D30" s="14">
        <f>D18+D29</f>
        <v>1625</v>
      </c>
      <c r="E30" s="14">
        <f>E18+E29</f>
        <v>59.43000000000001</v>
      </c>
      <c r="F30" s="14">
        <f>F18+F29</f>
        <v>46.2</v>
      </c>
      <c r="G30" s="14">
        <f>G18+G29</f>
        <v>202.06</v>
      </c>
      <c r="H30" s="14">
        <f>H18+H29</f>
        <v>1492.1333333333334</v>
      </c>
      <c r="I30" s="11"/>
    </row>
    <row r="31" ht="12.75">
      <c r="B31" s="8" t="s">
        <v>14</v>
      </c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8"/>
    <mergeCell ref="B20:B29"/>
    <mergeCell ref="B7:B8"/>
    <mergeCell ref="C7:C8"/>
    <mergeCell ref="D7:D8"/>
    <mergeCell ref="E7:G7"/>
  </mergeCells>
  <printOptions/>
  <pageMargins left="2.1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43"/>
  <sheetViews>
    <sheetView tabSelected="1" zoomScalePageLayoutView="0" workbookViewId="0" topLeftCell="A19">
      <selection activeCell="L36" sqref="L3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spans="3:7" ht="12.75">
      <c r="C1" s="115" t="s">
        <v>145</v>
      </c>
      <c r="D1" s="115"/>
      <c r="E1" s="115"/>
      <c r="F1" s="115"/>
      <c r="G1" s="115"/>
    </row>
    <row r="3" spans="3:5" ht="12.75">
      <c r="C3" s="4"/>
      <c r="D3" s="15"/>
      <c r="E3" s="2"/>
    </row>
    <row r="4" spans="3:5" ht="12.75">
      <c r="C4" s="4"/>
      <c r="D4" s="16"/>
      <c r="E4" s="2"/>
    </row>
    <row r="5" spans="3:7" ht="12.75">
      <c r="C5" s="4"/>
      <c r="D5" s="16"/>
      <c r="E5" s="2"/>
      <c r="F5" s="4"/>
      <c r="G5" s="2"/>
    </row>
    <row r="7" spans="2:9" ht="25.5" customHeight="1">
      <c r="B7" s="113" t="s">
        <v>18</v>
      </c>
      <c r="C7" s="113" t="s">
        <v>2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17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s="3" customFormat="1" ht="12.75">
      <c r="B9" s="37">
        <f>'Д01'!D4</f>
        <v>1</v>
      </c>
      <c r="C9" s="26">
        <f>'Д01'!$D$5</f>
        <v>1</v>
      </c>
      <c r="D9" s="19">
        <f>'Д01'!D$30</f>
        <v>1600</v>
      </c>
      <c r="E9" s="19">
        <f>'Д01'!E$30</f>
        <v>56.849999999999994</v>
      </c>
      <c r="F9" s="19">
        <f>'Д01'!F$30</f>
        <v>44.809999999999995</v>
      </c>
      <c r="G9" s="19">
        <f>'Д01'!G$30</f>
        <v>244.54</v>
      </c>
      <c r="H9" s="19">
        <f>'Д01'!H$30</f>
        <v>1351.8274999999999</v>
      </c>
      <c r="I9" s="20"/>
    </row>
    <row r="10" spans="2:9" ht="12.75">
      <c r="B10" s="25"/>
      <c r="C10" s="26">
        <f>'Д02'!$D$5</f>
        <v>2</v>
      </c>
      <c r="D10" s="19">
        <f>'Д02'!D$30</f>
        <v>1540</v>
      </c>
      <c r="E10" s="19">
        <f>'Д02'!E$30</f>
        <v>55.190000000000005</v>
      </c>
      <c r="F10" s="19">
        <f>'Д02'!F$30</f>
        <v>71.19999999999999</v>
      </c>
      <c r="G10" s="19">
        <f>'Д02'!G$30</f>
        <v>202.62333333333333</v>
      </c>
      <c r="H10" s="19">
        <f>'Д02'!H$30</f>
        <v>1874.27</v>
      </c>
      <c r="I10" s="20"/>
    </row>
    <row r="11" spans="2:9" ht="12.75">
      <c r="B11" s="25"/>
      <c r="C11" s="26">
        <f>'Д03'!$D$5</f>
        <v>3</v>
      </c>
      <c r="D11" s="19">
        <f>'Д03'!D$29</f>
        <v>1475</v>
      </c>
      <c r="E11" s="19">
        <f>'Д03'!E$29</f>
        <v>70.99000000000001</v>
      </c>
      <c r="F11" s="19">
        <f>'Д03'!F$29</f>
        <v>61.523333333333326</v>
      </c>
      <c r="G11" s="19">
        <f>'Д03'!G$29</f>
        <v>213.23000000000002</v>
      </c>
      <c r="H11" s="19">
        <f>'Д03'!H$29</f>
        <v>1837.7166666666667</v>
      </c>
      <c r="I11" s="20"/>
    </row>
    <row r="12" spans="2:9" ht="12.75">
      <c r="B12" s="25"/>
      <c r="C12" s="26">
        <f>'Д04'!$D$5</f>
        <v>4</v>
      </c>
      <c r="D12" s="19">
        <f>'Д04'!D$30</f>
        <v>1595</v>
      </c>
      <c r="E12" s="19">
        <f>'Д04'!E$30</f>
        <v>54.2547</v>
      </c>
      <c r="F12" s="19">
        <f>'Д04'!F$30</f>
        <v>50.329499999999996</v>
      </c>
      <c r="G12" s="19">
        <f>'Д04'!G$30</f>
        <v>213.78246666666666</v>
      </c>
      <c r="H12" s="19">
        <f>'Д04'!H$30</f>
        <v>1540.7166</v>
      </c>
      <c r="I12" s="20"/>
    </row>
    <row r="13" spans="2:9" ht="12.75">
      <c r="B13" s="27"/>
      <c r="C13" s="26">
        <f>'Д05'!$D$5</f>
        <v>5</v>
      </c>
      <c r="D13" s="19">
        <f>'Д05'!D$29</f>
        <v>1640</v>
      </c>
      <c r="E13" s="19">
        <f>'Д05'!E$29</f>
        <v>56.4688</v>
      </c>
      <c r="F13" s="19">
        <f>'Д05'!F$29</f>
        <v>34.7342</v>
      </c>
      <c r="G13" s="19">
        <f>'Д05'!G$29</f>
        <v>197.88116666666667</v>
      </c>
      <c r="H13" s="19">
        <f>'Д05'!H$29</f>
        <v>1381.7642</v>
      </c>
      <c r="I13" s="20"/>
    </row>
    <row r="14" spans="2:9" ht="12.75">
      <c r="B14" s="28">
        <f>'Д06'!D4</f>
        <v>2</v>
      </c>
      <c r="C14" s="29">
        <f>'Д06'!$D$5</f>
        <v>1</v>
      </c>
      <c r="D14" s="21">
        <f>'Д06'!D$30</f>
        <v>1690</v>
      </c>
      <c r="E14" s="21">
        <f>'Д06'!E$30</f>
        <v>55.67999999999999</v>
      </c>
      <c r="F14" s="21">
        <f>'Д06'!F$30</f>
        <v>50.669999999999995</v>
      </c>
      <c r="G14" s="21">
        <f>'Д06'!G$30</f>
        <v>222.98666666666668</v>
      </c>
      <c r="H14" s="21">
        <f>'Д06'!H$30</f>
        <v>1542.69</v>
      </c>
      <c r="I14" s="22"/>
    </row>
    <row r="15" spans="2:9" ht="12.75">
      <c r="B15" s="30"/>
      <c r="C15" s="29">
        <f>'Д07'!$D$5</f>
        <v>2</v>
      </c>
      <c r="D15" s="21">
        <f>'Д07'!D$31</f>
        <v>1685</v>
      </c>
      <c r="E15" s="21">
        <f>'Д07'!E$31</f>
        <v>56.690000000000005</v>
      </c>
      <c r="F15" s="21">
        <f>'Д07'!F$31</f>
        <v>57.12</v>
      </c>
      <c r="G15" s="21">
        <f>'Д07'!G$31</f>
        <v>243.2</v>
      </c>
      <c r="H15" s="21">
        <f>'Д07'!H$31</f>
        <v>1719.91</v>
      </c>
      <c r="I15" s="22"/>
    </row>
    <row r="16" spans="2:9" ht="12.75">
      <c r="B16" s="30"/>
      <c r="C16" s="29">
        <f>'Д08'!$D$5</f>
        <v>3</v>
      </c>
      <c r="D16" s="21">
        <f>'Д08'!D$30</f>
        <v>1645</v>
      </c>
      <c r="E16" s="21">
        <f>'Д08'!E$30</f>
        <v>63.019999999999996</v>
      </c>
      <c r="F16" s="21">
        <f>'Д08'!F$30</f>
        <v>53.63</v>
      </c>
      <c r="G16" s="21">
        <f>'Д08'!G$30</f>
        <v>214.82333333333335</v>
      </c>
      <c r="H16" s="21">
        <f>'Д08'!H$30</f>
        <v>1561.69</v>
      </c>
      <c r="I16" s="22"/>
    </row>
    <row r="17" spans="2:9" ht="12.75">
      <c r="B17" s="30"/>
      <c r="C17" s="29">
        <f>'Д09'!$D$5</f>
        <v>4</v>
      </c>
      <c r="D17" s="21">
        <f>'Д09'!D$30</f>
        <v>1620</v>
      </c>
      <c r="E17" s="21">
        <f>'Д09'!E$30</f>
        <v>48.56</v>
      </c>
      <c r="F17" s="21">
        <f>'Д09'!F$30</f>
        <v>51.45</v>
      </c>
      <c r="G17" s="21">
        <f>'Д09'!G$30</f>
        <v>220.55666666666667</v>
      </c>
      <c r="H17" s="21">
        <f>'Д09'!H$30</f>
        <v>1538.92</v>
      </c>
      <c r="I17" s="22"/>
    </row>
    <row r="18" spans="2:9" ht="12.75">
      <c r="B18" s="31"/>
      <c r="C18" s="29">
        <f>'Д10'!$D$5</f>
        <v>5</v>
      </c>
      <c r="D18" s="21">
        <f>'Д10'!D$29</f>
        <v>1405</v>
      </c>
      <c r="E18" s="21">
        <f>'Д10'!E$29</f>
        <v>53.709999999999994</v>
      </c>
      <c r="F18" s="21">
        <f>'Д10'!F$29</f>
        <v>45.85333333333333</v>
      </c>
      <c r="G18" s="21">
        <f>'Д10'!G$29</f>
        <v>201.77666666666667</v>
      </c>
      <c r="H18" s="21">
        <f>'Д10'!H$29</f>
        <v>1450.5166666666669</v>
      </c>
      <c r="I18" s="22"/>
    </row>
    <row r="19" spans="2:9" ht="12.75">
      <c r="B19" s="32">
        <f>'Д11'!D4</f>
        <v>3</v>
      </c>
      <c r="C19" s="26">
        <f>'Д11'!$D$5</f>
        <v>1</v>
      </c>
      <c r="D19" s="19">
        <f>'Д11'!D$29</f>
        <v>1525</v>
      </c>
      <c r="E19" s="19">
        <f>'Д11'!E$29</f>
        <v>54.61</v>
      </c>
      <c r="F19" s="19">
        <f>'Д11'!F$29</f>
        <v>35.735</v>
      </c>
      <c r="G19" s="19">
        <f>'Д11'!G$29</f>
        <v>213.285</v>
      </c>
      <c r="H19" s="19">
        <f>'Д11'!H$29</f>
        <v>1375.685</v>
      </c>
      <c r="I19" s="20"/>
    </row>
    <row r="20" spans="2:9" ht="12.75">
      <c r="B20" s="25"/>
      <c r="C20" s="26">
        <f>'Д12'!$D$5</f>
        <v>2</v>
      </c>
      <c r="D20" s="19">
        <f>'Д12'!D$30</f>
        <v>1670</v>
      </c>
      <c r="E20" s="19">
        <f>'Д12'!E$30</f>
        <v>61.15</v>
      </c>
      <c r="F20" s="19">
        <f>'Д12'!F$30</f>
        <v>68.69</v>
      </c>
      <c r="G20" s="19">
        <f>'Д12'!G$30</f>
        <v>239.26</v>
      </c>
      <c r="H20" s="19">
        <f>'Д12'!H$30</f>
        <v>2003.2599999999998</v>
      </c>
      <c r="I20" s="20"/>
    </row>
    <row r="21" spans="2:9" ht="12.75">
      <c r="B21" s="25"/>
      <c r="C21" s="26">
        <f>'Д13'!$D$5</f>
        <v>3</v>
      </c>
      <c r="D21" s="19">
        <f>'Д13'!D$30</f>
        <v>1610</v>
      </c>
      <c r="E21" s="19">
        <f>'Д13'!E$30</f>
        <v>56.9</v>
      </c>
      <c r="F21" s="19">
        <f>'Д13'!F$30</f>
        <v>41.666666666666664</v>
      </c>
      <c r="G21" s="19">
        <f>'Д13'!G$30</f>
        <v>207.98666666666665</v>
      </c>
      <c r="H21" s="19">
        <f>'Д13'!H$30</f>
        <v>1429.6366666666668</v>
      </c>
      <c r="I21" s="20"/>
    </row>
    <row r="22" spans="2:9" ht="12.75">
      <c r="B22" s="25"/>
      <c r="C22" s="26">
        <f>'Д14'!$D$5</f>
        <v>4</v>
      </c>
      <c r="D22" s="19">
        <f>'Д14'!D$30</f>
        <v>1660</v>
      </c>
      <c r="E22" s="19">
        <f>'Д14'!E$30</f>
        <v>54.21000000000001</v>
      </c>
      <c r="F22" s="19">
        <f>'Д14'!F$30</f>
        <v>51.45</v>
      </c>
      <c r="G22" s="19">
        <f>'Д14'!G$30</f>
        <v>258.31000000000006</v>
      </c>
      <c r="H22" s="19">
        <f>'Д14'!H$30</f>
        <v>1651.92</v>
      </c>
      <c r="I22" s="20"/>
    </row>
    <row r="23" spans="2:9" ht="12.75">
      <c r="B23" s="27"/>
      <c r="C23" s="26">
        <f>'Д15'!$D$5</f>
        <v>5</v>
      </c>
      <c r="D23" s="19">
        <f>'Д15'!D$29</f>
        <v>1615</v>
      </c>
      <c r="E23" s="19">
        <f>'Д15'!E$29</f>
        <v>58.34</v>
      </c>
      <c r="F23" s="19">
        <f>'Д15'!F$29</f>
        <v>36.910000000000004</v>
      </c>
      <c r="G23" s="19">
        <f>'Д15'!G$29</f>
        <v>225.64000000000001</v>
      </c>
      <c r="H23" s="19">
        <f>'Д15'!H$29</f>
        <v>1517.08</v>
      </c>
      <c r="I23" s="20"/>
    </row>
    <row r="24" spans="2:9" ht="12.75">
      <c r="B24" s="33">
        <f>'Д16'!D4</f>
        <v>4</v>
      </c>
      <c r="C24" s="34">
        <f>'Д16'!$D$5</f>
        <v>1</v>
      </c>
      <c r="D24" s="23">
        <f>'Д16'!D$30</f>
        <v>1675</v>
      </c>
      <c r="E24" s="23">
        <f>'Д16'!E$30</f>
        <v>52.97</v>
      </c>
      <c r="F24" s="23">
        <f>'Д16'!F$30</f>
        <v>31.13</v>
      </c>
      <c r="G24" s="23">
        <f>'Д16'!G$30</f>
        <v>255.11</v>
      </c>
      <c r="H24" s="23">
        <f>'Д16'!H$30</f>
        <v>1463.13</v>
      </c>
      <c r="I24" s="24"/>
    </row>
    <row r="25" spans="2:9" ht="12.75">
      <c r="B25" s="35"/>
      <c r="C25" s="34">
        <f>'Д17'!$D$5</f>
        <v>2</v>
      </c>
      <c r="D25" s="23">
        <f>'Д17'!D$30</f>
        <v>1665</v>
      </c>
      <c r="E25" s="23">
        <f>'Д17'!E$30</f>
        <v>62.89</v>
      </c>
      <c r="F25" s="23">
        <f>'Д17'!F$30</f>
        <v>52.349999999999994</v>
      </c>
      <c r="G25" s="23">
        <f>'Д17'!G$30</f>
        <v>190.19</v>
      </c>
      <c r="H25" s="23">
        <f>'Д17'!H$30</f>
        <v>1504.74</v>
      </c>
      <c r="I25" s="24"/>
    </row>
    <row r="26" spans="2:9" ht="12.75">
      <c r="B26" s="35"/>
      <c r="C26" s="34">
        <f>'Д18'!$D$5</f>
        <v>3</v>
      </c>
      <c r="D26" s="23">
        <f>'Д18'!D$29</f>
        <v>1570</v>
      </c>
      <c r="E26" s="23">
        <f>'Д18'!E$29</f>
        <v>54.79</v>
      </c>
      <c r="F26" s="23">
        <f>'Д18'!F$29</f>
        <v>46.57</v>
      </c>
      <c r="G26" s="23">
        <f>'Д18'!G$29</f>
        <v>207.57</v>
      </c>
      <c r="H26" s="23">
        <f>'Д18'!H$29</f>
        <v>1429.7399999999998</v>
      </c>
      <c r="I26" s="24"/>
    </row>
    <row r="27" spans="2:9" ht="12.75">
      <c r="B27" s="35"/>
      <c r="C27" s="34">
        <f>'Д19'!$D$5</f>
        <v>4</v>
      </c>
      <c r="D27" s="23">
        <f>'Д19'!D$30</f>
        <v>1670</v>
      </c>
      <c r="E27" s="23">
        <f>'Д19'!E$30</f>
        <v>54.230000000000004</v>
      </c>
      <c r="F27" s="23">
        <f>'Д19'!F$30</f>
        <v>33.615</v>
      </c>
      <c r="G27" s="23">
        <f>'Д19'!G$30</f>
        <v>218.3</v>
      </c>
      <c r="H27" s="23">
        <f>'Д19'!H$30</f>
        <v>1374.295</v>
      </c>
      <c r="I27" s="24"/>
    </row>
    <row r="28" spans="2:9" ht="12.75">
      <c r="B28" s="36"/>
      <c r="C28" s="34">
        <f>'Д20'!$D$5</f>
        <v>5</v>
      </c>
      <c r="D28" s="23">
        <f>'Д20'!D$30</f>
        <v>1625</v>
      </c>
      <c r="E28" s="23">
        <f>'Д20'!E$30</f>
        <v>59.43000000000001</v>
      </c>
      <c r="F28" s="23">
        <f>'Д20'!F$30</f>
        <v>46.2</v>
      </c>
      <c r="G28" s="23">
        <f>'Д20'!G$30</f>
        <v>202.06</v>
      </c>
      <c r="H28" s="23">
        <f>'Д20'!H$30</f>
        <v>1492.1333333333334</v>
      </c>
      <c r="I28" s="24"/>
    </row>
    <row r="29" spans="3:8" s="3" customFormat="1" ht="12.75">
      <c r="C29" s="3" t="s">
        <v>19</v>
      </c>
      <c r="D29" s="38">
        <f>SUM(D9:D28)</f>
        <v>32180</v>
      </c>
      <c r="E29" s="38">
        <f>SUM(E9:E28)</f>
        <v>1140.9335</v>
      </c>
      <c r="F29" s="38">
        <f>SUM(F9:F28)</f>
        <v>965.6370333333333</v>
      </c>
      <c r="G29" s="38">
        <f>SUM(G9:G28)</f>
        <v>4393.111966666666</v>
      </c>
      <c r="H29" s="38">
        <f>SUM(H9:H28)</f>
        <v>31041.641633333336</v>
      </c>
    </row>
    <row r="30" spans="3:8" ht="12.75">
      <c r="C30" s="3" t="s">
        <v>20</v>
      </c>
      <c r="D30" s="38">
        <v>1426.5</v>
      </c>
      <c r="E30" s="38">
        <f>E29/20</f>
        <v>57.04667500000001</v>
      </c>
      <c r="F30" s="38">
        <f>F29/20</f>
        <v>48.28185166666667</v>
      </c>
      <c r="G30" s="38">
        <f>G29/20</f>
        <v>219.65559833333333</v>
      </c>
      <c r="H30" s="38">
        <f>H29/20</f>
        <v>1552.082081666667</v>
      </c>
    </row>
    <row r="32" spans="4:8" ht="12.75">
      <c r="D32" s="39"/>
      <c r="E32" s="120"/>
      <c r="F32" s="120"/>
      <c r="G32" s="120"/>
      <c r="H32" s="120"/>
    </row>
    <row r="35" spans="3:8" ht="12.75">
      <c r="C35" s="118"/>
      <c r="D35" s="118"/>
      <c r="E35" s="118"/>
      <c r="F35" s="118"/>
      <c r="G35" s="118"/>
      <c r="H35" s="118"/>
    </row>
    <row r="36" spans="3:8" ht="12.75">
      <c r="C36" s="118"/>
      <c r="D36" s="119"/>
      <c r="E36" s="119"/>
      <c r="F36" s="119"/>
      <c r="G36" s="119"/>
      <c r="H36" s="119"/>
    </row>
    <row r="39" spans="3:9" ht="12.75">
      <c r="C39" s="114" t="s">
        <v>160</v>
      </c>
      <c r="D39" s="114"/>
      <c r="E39" s="114"/>
      <c r="F39" s="114"/>
      <c r="G39" s="114"/>
      <c r="H39" s="114"/>
      <c r="I39" s="114"/>
    </row>
    <row r="41" spans="3:9" ht="12.75">
      <c r="C41" s="114" t="s">
        <v>161</v>
      </c>
      <c r="D41" s="114"/>
      <c r="E41" s="114"/>
      <c r="F41" s="114"/>
      <c r="G41" s="114"/>
      <c r="H41" s="114"/>
      <c r="I41" s="114"/>
    </row>
    <row r="43" spans="3:9" ht="12.75">
      <c r="C43" s="2" t="s">
        <v>166</v>
      </c>
      <c r="D43" s="2"/>
      <c r="E43" s="2"/>
      <c r="F43" s="2"/>
      <c r="G43" s="2"/>
      <c r="H43" s="2"/>
      <c r="I43" s="2"/>
    </row>
  </sheetData>
  <sheetProtection/>
  <mergeCells count="9">
    <mergeCell ref="C39:I39"/>
    <mergeCell ref="C41:I41"/>
    <mergeCell ref="C1:G1"/>
    <mergeCell ref="H7:H8"/>
    <mergeCell ref="I7:I8"/>
    <mergeCell ref="B7:B8"/>
    <mergeCell ref="C7:C8"/>
    <mergeCell ref="D7:D8"/>
    <mergeCell ref="E7:G7"/>
  </mergeCells>
  <printOptions/>
  <pageMargins left="2.1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C31" sqref="C31:H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9.8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112"/>
      <c r="C10" s="49" t="s">
        <v>115</v>
      </c>
      <c r="D10" s="50">
        <v>200</v>
      </c>
      <c r="E10" s="51">
        <v>22.53</v>
      </c>
      <c r="F10" s="51">
        <v>20.8</v>
      </c>
      <c r="G10" s="51">
        <v>40</v>
      </c>
      <c r="H10" s="51">
        <v>581.51</v>
      </c>
      <c r="I10" s="48">
        <v>69</v>
      </c>
    </row>
    <row r="11" spans="2:9" ht="12.75">
      <c r="B11" s="112"/>
      <c r="C11" s="75" t="s">
        <v>116</v>
      </c>
      <c r="D11" s="76" t="s">
        <v>109</v>
      </c>
      <c r="E11" s="51">
        <v>2.16</v>
      </c>
      <c r="F11" s="51">
        <v>0.81</v>
      </c>
      <c r="G11" s="51">
        <v>14.73</v>
      </c>
      <c r="H11" s="51">
        <v>60.52</v>
      </c>
      <c r="I11" s="48">
        <v>121</v>
      </c>
    </row>
    <row r="12" spans="2:9" ht="12.75">
      <c r="B12" s="112"/>
      <c r="C12" s="49" t="s">
        <v>140</v>
      </c>
      <c r="D12" s="50">
        <v>200</v>
      </c>
      <c r="E12" s="51">
        <v>6.4</v>
      </c>
      <c r="F12" s="51">
        <v>5.2</v>
      </c>
      <c r="G12" s="51">
        <v>21</v>
      </c>
      <c r="H12" s="51">
        <v>156.6</v>
      </c>
      <c r="I12" s="48">
        <v>115</v>
      </c>
    </row>
    <row r="13" spans="2:9" ht="12.75">
      <c r="B13" s="112"/>
      <c r="C13" s="52" t="s">
        <v>117</v>
      </c>
      <c r="D13" s="53">
        <v>100</v>
      </c>
      <c r="E13" s="54">
        <f>0.9*100/150</f>
        <v>0.6</v>
      </c>
      <c r="F13" s="54">
        <f>0.2*100/150</f>
        <v>0.13333333333333333</v>
      </c>
      <c r="G13" s="54">
        <f>10.8*100/150</f>
        <v>7.2</v>
      </c>
      <c r="H13" s="47">
        <f>40*100/150</f>
        <v>26.666666666666668</v>
      </c>
      <c r="I13" s="48">
        <v>24</v>
      </c>
    </row>
    <row r="14" spans="2:9" ht="12.75">
      <c r="B14" s="112"/>
      <c r="C14" s="5"/>
      <c r="D14" s="12"/>
      <c r="E14" s="12"/>
      <c r="F14" s="12"/>
      <c r="G14" s="12"/>
      <c r="H14" s="12"/>
      <c r="I14" s="40"/>
    </row>
    <row r="15" spans="2:9" ht="12.75">
      <c r="B15" s="112"/>
      <c r="C15" s="49" t="s">
        <v>150</v>
      </c>
      <c r="D15" s="51">
        <v>200</v>
      </c>
      <c r="E15" s="51">
        <v>8</v>
      </c>
      <c r="F15" s="51">
        <v>3.3</v>
      </c>
      <c r="G15" s="51">
        <v>16</v>
      </c>
      <c r="H15" s="51">
        <v>145</v>
      </c>
      <c r="I15" s="90" t="s">
        <v>159</v>
      </c>
    </row>
    <row r="16" spans="2:9" ht="12.75">
      <c r="B16" s="112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700</v>
      </c>
      <c r="E17" s="13">
        <f>SUM(E9:E16)</f>
        <v>39.690000000000005</v>
      </c>
      <c r="F17" s="13">
        <f>SUM(F9:F16)</f>
        <v>30.243333333333332</v>
      </c>
      <c r="G17" s="13">
        <f>SUM(G9:G16)</f>
        <v>98.93</v>
      </c>
      <c r="H17" s="14">
        <f>SUM(H9:H16)</f>
        <v>970.2966666666666</v>
      </c>
      <c r="I17" s="11"/>
    </row>
    <row r="18" spans="2:9" ht="12.75">
      <c r="B18" s="112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112"/>
      <c r="C19" s="55" t="s">
        <v>69</v>
      </c>
      <c r="D19" s="60">
        <v>60</v>
      </c>
      <c r="E19" s="61">
        <f>1.3*60/100</f>
        <v>0.78</v>
      </c>
      <c r="F19" s="61">
        <f>10.2*60/100</f>
        <v>6.12</v>
      </c>
      <c r="G19" s="61">
        <f>9.2*60/100</f>
        <v>5.52</v>
      </c>
      <c r="H19" s="61">
        <f>132.5*60/100</f>
        <v>79.5</v>
      </c>
      <c r="I19" s="58">
        <v>132</v>
      </c>
    </row>
    <row r="20" spans="2:9" ht="12.75">
      <c r="B20" s="112"/>
      <c r="C20" s="55" t="s">
        <v>118</v>
      </c>
      <c r="D20" s="56">
        <v>250</v>
      </c>
      <c r="E20" s="57">
        <v>5.5</v>
      </c>
      <c r="F20" s="57">
        <v>9.5</v>
      </c>
      <c r="G20" s="57">
        <v>11.5</v>
      </c>
      <c r="H20" s="57">
        <v>154</v>
      </c>
      <c r="I20" s="58">
        <v>34</v>
      </c>
    </row>
    <row r="21" spans="2:9" ht="12.75">
      <c r="B21" s="112"/>
      <c r="C21" s="67" t="s">
        <v>119</v>
      </c>
      <c r="D21" s="56">
        <v>90</v>
      </c>
      <c r="E21" s="57">
        <v>15</v>
      </c>
      <c r="F21" s="57">
        <v>9.99</v>
      </c>
      <c r="G21" s="57">
        <v>14.58</v>
      </c>
      <c r="H21" s="57">
        <v>208.8</v>
      </c>
      <c r="I21" s="58">
        <v>82</v>
      </c>
    </row>
    <row r="22" spans="2:9" ht="12.75">
      <c r="B22" s="112"/>
      <c r="C22" s="55" t="s">
        <v>120</v>
      </c>
      <c r="D22" s="60">
        <v>150</v>
      </c>
      <c r="E22" s="61">
        <f>6.45*200/150</f>
        <v>8.6</v>
      </c>
      <c r="F22" s="61">
        <f>4.05*200/150</f>
        <v>5.4</v>
      </c>
      <c r="G22" s="61">
        <f>40.2*200/150</f>
        <v>53.60000000000001</v>
      </c>
      <c r="H22" s="61">
        <f>223.65*200/150</f>
        <v>298.2</v>
      </c>
      <c r="I22" s="58">
        <v>174</v>
      </c>
    </row>
    <row r="23" spans="2:9" ht="12.75">
      <c r="B23" s="112"/>
      <c r="C23" s="55" t="s">
        <v>24</v>
      </c>
      <c r="D23" s="60">
        <v>25</v>
      </c>
      <c r="E23" s="61">
        <v>1.42</v>
      </c>
      <c r="F23" s="61">
        <v>0.27</v>
      </c>
      <c r="G23" s="61">
        <v>9.3</v>
      </c>
      <c r="H23" s="61">
        <v>45.32</v>
      </c>
      <c r="I23" s="58">
        <v>120</v>
      </c>
    </row>
    <row r="24" spans="2:9" ht="12.75">
      <c r="B24" s="112"/>
      <c r="C24" s="63" t="s">
        <v>121</v>
      </c>
      <c r="D24" s="64">
        <v>200</v>
      </c>
      <c r="E24" s="65">
        <v>0</v>
      </c>
      <c r="F24" s="65">
        <v>0</v>
      </c>
      <c r="G24" s="65">
        <v>19.8</v>
      </c>
      <c r="H24" s="66">
        <v>81.6</v>
      </c>
      <c r="I24" s="58">
        <v>95</v>
      </c>
    </row>
    <row r="25" spans="2:9" ht="12.75">
      <c r="B25" s="112"/>
      <c r="C25" s="5"/>
      <c r="D25" s="12"/>
      <c r="E25" s="12"/>
      <c r="F25" s="12"/>
      <c r="G25" s="12"/>
      <c r="H25" s="12"/>
      <c r="I25" s="10"/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775</v>
      </c>
      <c r="E28" s="14">
        <f>SUM(E18:E27)</f>
        <v>31.300000000000004</v>
      </c>
      <c r="F28" s="14">
        <f>SUM(F18:F27)</f>
        <v>31.279999999999998</v>
      </c>
      <c r="G28" s="14">
        <f>SUM(G18:G27)</f>
        <v>114.30000000000001</v>
      </c>
      <c r="H28" s="14">
        <f>SUM(H18:H27)</f>
        <v>867.4200000000001</v>
      </c>
      <c r="I28" s="11"/>
    </row>
    <row r="29" spans="2:9" ht="12.75">
      <c r="B29" s="8" t="s">
        <v>14</v>
      </c>
      <c r="C29" s="7"/>
      <c r="D29" s="14">
        <f>D17+D28</f>
        <v>1475</v>
      </c>
      <c r="E29" s="14">
        <f>E17+E28</f>
        <v>70.99000000000001</v>
      </c>
      <c r="F29" s="14">
        <f>F17+F28</f>
        <v>61.523333333333326</v>
      </c>
      <c r="G29" s="14">
        <f>G17+G28</f>
        <v>213.23000000000002</v>
      </c>
      <c r="H29" s="14">
        <f>H17+H28</f>
        <v>1837.7166666666667</v>
      </c>
      <c r="I29" s="11"/>
    </row>
    <row r="31" spans="3:8" ht="12.75">
      <c r="C31" s="108"/>
      <c r="D31" s="108"/>
      <c r="E31" s="108"/>
      <c r="F31" s="109"/>
      <c r="G31" s="109"/>
      <c r="H31" s="109"/>
    </row>
    <row r="32" spans="3:8" ht="12.75">
      <c r="C32" s="108"/>
      <c r="D32" s="110"/>
      <c r="E32" s="110"/>
      <c r="F32" s="110"/>
      <c r="G32" s="110"/>
      <c r="H32" s="110"/>
    </row>
    <row r="33" spans="4:8" ht="12.75">
      <c r="D33" s="39"/>
      <c r="E33" s="85"/>
      <c r="F33" s="85"/>
      <c r="G33" s="85"/>
      <c r="H33" s="85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2.21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253906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112"/>
      <c r="C10" s="49" t="s">
        <v>83</v>
      </c>
      <c r="D10" s="51">
        <v>200</v>
      </c>
      <c r="E10" s="51">
        <v>4.6</v>
      </c>
      <c r="F10" s="51">
        <v>2.1</v>
      </c>
      <c r="G10" s="51">
        <v>43.4</v>
      </c>
      <c r="H10" s="51">
        <v>210</v>
      </c>
      <c r="I10" s="48" t="s">
        <v>84</v>
      </c>
    </row>
    <row r="11" spans="2:9" ht="12.75">
      <c r="B11" s="112"/>
      <c r="C11" s="49" t="s">
        <v>72</v>
      </c>
      <c r="D11" s="51">
        <v>20</v>
      </c>
      <c r="E11" s="51">
        <v>0.16</v>
      </c>
      <c r="F11" s="51">
        <v>14.49</v>
      </c>
      <c r="G11" s="51">
        <v>0.25</v>
      </c>
      <c r="H11" s="51">
        <v>132.17</v>
      </c>
      <c r="I11" s="91" t="s">
        <v>73</v>
      </c>
    </row>
    <row r="12" spans="2:9" ht="12.75">
      <c r="B12" s="112"/>
      <c r="C12" s="49" t="s">
        <v>23</v>
      </c>
      <c r="D12" s="51">
        <v>30</v>
      </c>
      <c r="E12" s="51">
        <f>3.55*30/50</f>
        <v>2.13</v>
      </c>
      <c r="F12" s="51">
        <f>0.35*30/50</f>
        <v>0.21</v>
      </c>
      <c r="G12" s="51">
        <f>22.1*30/50</f>
        <v>13.26</v>
      </c>
      <c r="H12" s="51">
        <f>120*30/50</f>
        <v>72</v>
      </c>
      <c r="I12" s="92">
        <v>119</v>
      </c>
    </row>
    <row r="13" spans="2:9" ht="12.75">
      <c r="B13" s="112"/>
      <c r="C13" s="49" t="s">
        <v>96</v>
      </c>
      <c r="D13" s="51">
        <v>200</v>
      </c>
      <c r="E13" s="51">
        <v>1.8</v>
      </c>
      <c r="F13" s="51">
        <v>1.2</v>
      </c>
      <c r="G13" s="51">
        <v>13.2</v>
      </c>
      <c r="H13" s="51">
        <v>69.9</v>
      </c>
      <c r="I13" s="48">
        <v>112</v>
      </c>
    </row>
    <row r="14" spans="2:9" ht="12.75">
      <c r="B14" s="112"/>
      <c r="C14" s="49" t="s">
        <v>75</v>
      </c>
      <c r="D14" s="51">
        <v>105</v>
      </c>
      <c r="E14" s="51">
        <v>0.94</v>
      </c>
      <c r="F14" s="51">
        <v>0</v>
      </c>
      <c r="G14" s="51">
        <v>9.03</v>
      </c>
      <c r="H14" s="51">
        <v>39.9</v>
      </c>
      <c r="I14" s="48">
        <v>137</v>
      </c>
    </row>
    <row r="15" spans="2:9" ht="12.75">
      <c r="B15" s="112"/>
      <c r="C15" s="5"/>
      <c r="D15" s="12"/>
      <c r="E15" s="12"/>
      <c r="F15" s="12"/>
      <c r="G15" s="12"/>
      <c r="H15" s="12"/>
      <c r="I15" s="93"/>
    </row>
    <row r="16" spans="2:9" ht="12.75">
      <c r="B16" s="112"/>
      <c r="C16" s="49" t="s">
        <v>146</v>
      </c>
      <c r="D16" s="51">
        <v>200</v>
      </c>
      <c r="E16" s="51">
        <v>5.8</v>
      </c>
      <c r="F16" s="51">
        <v>5</v>
      </c>
      <c r="G16" s="51">
        <v>8</v>
      </c>
      <c r="H16" s="51">
        <v>101</v>
      </c>
      <c r="I16" s="48" t="s">
        <v>147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755</v>
      </c>
      <c r="E18" s="13">
        <f>SUM(E9:E17)</f>
        <v>15.43</v>
      </c>
      <c r="F18" s="13">
        <f>SUM(F9:F17)</f>
        <v>23</v>
      </c>
      <c r="G18" s="13">
        <f>SUM(G9:G17)</f>
        <v>87.14</v>
      </c>
      <c r="H18" s="14">
        <f>SUM(H9:H17)</f>
        <v>624.9699999999999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55" t="s">
        <v>31</v>
      </c>
      <c r="D20" s="61">
        <v>60</v>
      </c>
      <c r="E20" s="61">
        <f>2*60/100</f>
        <v>1.2</v>
      </c>
      <c r="F20" s="61">
        <f>7.1*60/100</f>
        <v>4.26</v>
      </c>
      <c r="G20" s="61">
        <f>10.3*60/100</f>
        <v>6.18</v>
      </c>
      <c r="H20" s="61">
        <f>113.2*60/100</f>
        <v>67.92</v>
      </c>
      <c r="I20" s="95">
        <v>13</v>
      </c>
    </row>
    <row r="21" spans="2:9" ht="12.75">
      <c r="B21" s="112"/>
      <c r="C21" s="55" t="s">
        <v>32</v>
      </c>
      <c r="D21" s="61">
        <v>250</v>
      </c>
      <c r="E21" s="61">
        <v>7.75</v>
      </c>
      <c r="F21" s="61">
        <v>9</v>
      </c>
      <c r="G21" s="61">
        <v>11.5</v>
      </c>
      <c r="H21" s="61">
        <v>159.75</v>
      </c>
      <c r="I21" s="95">
        <v>31</v>
      </c>
    </row>
    <row r="22" spans="2:9" ht="12.75">
      <c r="B22" s="112"/>
      <c r="C22" s="55" t="s">
        <v>33</v>
      </c>
      <c r="D22" s="61">
        <v>90</v>
      </c>
      <c r="E22" s="61">
        <f>20.35*0.81</f>
        <v>16.483500000000003</v>
      </c>
      <c r="F22" s="61">
        <f>9.79*0.81</f>
        <v>7.9299</v>
      </c>
      <c r="G22" s="61">
        <f>5.94*0.81</f>
        <v>4.811400000000001</v>
      </c>
      <c r="H22" s="61">
        <f>193.38*0.81</f>
        <v>156.6378</v>
      </c>
      <c r="I22" s="95">
        <v>126</v>
      </c>
    </row>
    <row r="23" spans="2:9" ht="25.5">
      <c r="B23" s="112"/>
      <c r="C23" s="55" t="s">
        <v>34</v>
      </c>
      <c r="D23" s="61">
        <v>150</v>
      </c>
      <c r="E23" s="61">
        <f>8.64*0.83</f>
        <v>7.1712</v>
      </c>
      <c r="F23" s="61">
        <f>6.12*0.83</f>
        <v>5.0796</v>
      </c>
      <c r="G23" s="61">
        <f>40.68*0.83</f>
        <v>33.764399999999995</v>
      </c>
      <c r="H23" s="61">
        <f>252.36*0.83</f>
        <v>209.4588</v>
      </c>
      <c r="I23" s="95">
        <v>54</v>
      </c>
    </row>
    <row r="24" spans="2:9" ht="12.75">
      <c r="B24" s="112"/>
      <c r="C24" s="63" t="s">
        <v>104</v>
      </c>
      <c r="D24" s="64">
        <v>30</v>
      </c>
      <c r="E24" s="65">
        <v>2.4</v>
      </c>
      <c r="F24" s="65">
        <v>0.4</v>
      </c>
      <c r="G24" s="65">
        <f>15.8*200/150</f>
        <v>21.066666666666666</v>
      </c>
      <c r="H24" s="66">
        <f>77.4*200/150</f>
        <v>103.20000000000002</v>
      </c>
      <c r="I24" s="62">
        <v>119</v>
      </c>
    </row>
    <row r="25" spans="2:9" ht="12.75">
      <c r="B25" s="112"/>
      <c r="C25" s="55" t="s">
        <v>24</v>
      </c>
      <c r="D25" s="61">
        <v>60</v>
      </c>
      <c r="E25" s="61">
        <v>3.42</v>
      </c>
      <c r="F25" s="61">
        <v>0.66</v>
      </c>
      <c r="G25" s="61">
        <v>22.32</v>
      </c>
      <c r="H25" s="61">
        <v>108.78</v>
      </c>
      <c r="I25" s="95">
        <v>120</v>
      </c>
    </row>
    <row r="26" spans="2:9" ht="12.75">
      <c r="B26" s="112"/>
      <c r="C26" s="55" t="s">
        <v>105</v>
      </c>
      <c r="D26" s="61">
        <v>200</v>
      </c>
      <c r="E26" s="61">
        <v>0.4</v>
      </c>
      <c r="F26" s="61">
        <v>0</v>
      </c>
      <c r="G26" s="61">
        <v>27</v>
      </c>
      <c r="H26" s="61">
        <v>110</v>
      </c>
      <c r="I26" s="95">
        <v>98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840</v>
      </c>
      <c r="E29" s="14">
        <f>SUM(E19:E28)</f>
        <v>38.8247</v>
      </c>
      <c r="F29" s="14">
        <f>SUM(F19:F28)</f>
        <v>27.3295</v>
      </c>
      <c r="G29" s="14">
        <f>SUM(G19:G28)</f>
        <v>126.64246666666665</v>
      </c>
      <c r="H29" s="14">
        <f>SUM(H19:H28)</f>
        <v>915.7466000000001</v>
      </c>
      <c r="I29" s="11"/>
    </row>
    <row r="30" spans="2:9" ht="12.75">
      <c r="B30" s="8" t="s">
        <v>14</v>
      </c>
      <c r="C30" s="7"/>
      <c r="D30" s="14">
        <f>D18+D29</f>
        <v>1595</v>
      </c>
      <c r="E30" s="14">
        <f>E18+E29</f>
        <v>54.2547</v>
      </c>
      <c r="F30" s="14">
        <f>F18+F29</f>
        <v>50.329499999999996</v>
      </c>
      <c r="G30" s="14">
        <f>G18+G29</f>
        <v>213.78246666666666</v>
      </c>
      <c r="H30" s="14">
        <f>H18+H29</f>
        <v>1540.7166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75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1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112"/>
      <c r="C10" s="82" t="s">
        <v>85</v>
      </c>
      <c r="D10" s="51">
        <v>250</v>
      </c>
      <c r="E10" s="51">
        <v>8</v>
      </c>
      <c r="F10" s="51">
        <v>6.5</v>
      </c>
      <c r="G10" s="51">
        <v>22.5</v>
      </c>
      <c r="H10" s="51">
        <v>181</v>
      </c>
      <c r="I10" s="77">
        <v>44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77">
        <v>119</v>
      </c>
    </row>
    <row r="12" spans="2:9" ht="12.75">
      <c r="B12" s="112"/>
      <c r="C12" s="49" t="s">
        <v>86</v>
      </c>
      <c r="D12" s="51">
        <v>200</v>
      </c>
      <c r="E12" s="51">
        <v>0.4</v>
      </c>
      <c r="F12" s="51">
        <v>0.6</v>
      </c>
      <c r="G12" s="51">
        <v>17.8</v>
      </c>
      <c r="H12" s="51">
        <v>78.6</v>
      </c>
      <c r="I12" s="77">
        <v>160</v>
      </c>
    </row>
    <row r="13" spans="2:9" ht="12.75">
      <c r="B13" s="112"/>
      <c r="C13" s="49" t="s">
        <v>82</v>
      </c>
      <c r="D13" s="51">
        <v>100</v>
      </c>
      <c r="E13" s="51">
        <v>0.4</v>
      </c>
      <c r="F13" s="51">
        <v>0.3</v>
      </c>
      <c r="G13" s="51">
        <v>8.2</v>
      </c>
      <c r="H13" s="51">
        <v>36.6</v>
      </c>
      <c r="I13" s="77">
        <v>25</v>
      </c>
    </row>
    <row r="14" spans="2:9" ht="12.75">
      <c r="B14" s="112"/>
      <c r="C14" s="49"/>
      <c r="D14" s="51"/>
      <c r="E14" s="51"/>
      <c r="F14" s="51"/>
      <c r="G14" s="51"/>
      <c r="H14" s="51"/>
      <c r="I14" s="77"/>
    </row>
    <row r="15" spans="2:9" ht="12.75">
      <c r="B15" s="112"/>
      <c r="C15" s="49" t="s">
        <v>149</v>
      </c>
      <c r="D15" s="51">
        <v>200</v>
      </c>
      <c r="E15" s="51">
        <v>6</v>
      </c>
      <c r="F15" s="51">
        <v>6</v>
      </c>
      <c r="G15" s="51">
        <v>8.4</v>
      </c>
      <c r="H15" s="51">
        <v>145</v>
      </c>
      <c r="I15" s="48" t="s">
        <v>167</v>
      </c>
    </row>
    <row r="16" spans="2:9" ht="12.75">
      <c r="B16" s="112"/>
      <c r="C16" s="5"/>
      <c r="D16" s="12"/>
      <c r="E16" s="12"/>
      <c r="F16" s="12"/>
      <c r="G16" s="12"/>
      <c r="H16" s="12"/>
      <c r="I16" s="88"/>
    </row>
    <row r="17" spans="2:9" ht="12.75">
      <c r="B17" s="112"/>
      <c r="C17" s="7"/>
      <c r="D17" s="13">
        <f>SUM(D9:D16)</f>
        <v>800</v>
      </c>
      <c r="E17" s="13">
        <f>SUM(E9:E16)</f>
        <v>18.35</v>
      </c>
      <c r="F17" s="13">
        <f>SUM(F9:F16)</f>
        <v>13.75</v>
      </c>
      <c r="G17" s="13">
        <f>SUM(G9:G16)</f>
        <v>79.00000000000001</v>
      </c>
      <c r="H17" s="14">
        <f>SUM(H9:H16)</f>
        <v>561.2</v>
      </c>
      <c r="I17" s="111"/>
    </row>
    <row r="18" spans="2:9" ht="12.75">
      <c r="B18" s="8" t="s">
        <v>10</v>
      </c>
      <c r="C18" s="5"/>
      <c r="D18" s="12"/>
      <c r="E18" s="12"/>
      <c r="F18" s="12"/>
      <c r="G18" s="12"/>
      <c r="H18" s="12"/>
      <c r="I18" s="88"/>
    </row>
    <row r="19" spans="2:9" ht="12.75">
      <c r="B19" s="112" t="s">
        <v>12</v>
      </c>
      <c r="C19" s="55" t="s">
        <v>35</v>
      </c>
      <c r="D19" s="61">
        <v>60</v>
      </c>
      <c r="E19" s="61">
        <f>1.32*60/100</f>
        <v>0.792</v>
      </c>
      <c r="F19" s="61">
        <f>0.24*60/100</f>
        <v>0.144</v>
      </c>
      <c r="G19" s="61">
        <f>8.82*60/100</f>
        <v>5.292000000000001</v>
      </c>
      <c r="H19" s="61">
        <f>40.8*60/100</f>
        <v>24.48</v>
      </c>
      <c r="I19" s="69">
        <v>133</v>
      </c>
    </row>
    <row r="20" spans="2:9" ht="12.75">
      <c r="B20" s="112"/>
      <c r="C20" s="55" t="s">
        <v>36</v>
      </c>
      <c r="D20" s="61">
        <v>250</v>
      </c>
      <c r="E20" s="61">
        <v>7.5</v>
      </c>
      <c r="F20" s="61">
        <v>6.75</v>
      </c>
      <c r="G20" s="61">
        <v>13.5</v>
      </c>
      <c r="H20" s="61">
        <v>144.5</v>
      </c>
      <c r="I20" s="69">
        <v>37</v>
      </c>
    </row>
    <row r="21" spans="2:9" ht="12.75">
      <c r="B21" s="112"/>
      <c r="C21" s="55" t="s">
        <v>42</v>
      </c>
      <c r="D21" s="61">
        <v>90</v>
      </c>
      <c r="E21" s="61">
        <f>22.8*0.9</f>
        <v>20.52</v>
      </c>
      <c r="F21" s="61">
        <f>9*0.9</f>
        <v>8.1</v>
      </c>
      <c r="G21" s="61">
        <f>4.6*0.9</f>
        <v>4.14</v>
      </c>
      <c r="H21" s="61">
        <f>191*0.9</f>
        <v>171.9</v>
      </c>
      <c r="I21" s="69">
        <v>147</v>
      </c>
    </row>
    <row r="22" spans="2:9" ht="12.75">
      <c r="B22" s="112"/>
      <c r="C22" s="55" t="s">
        <v>37</v>
      </c>
      <c r="D22" s="61">
        <v>150</v>
      </c>
      <c r="E22" s="61">
        <f>3.96*0.83</f>
        <v>3.2868</v>
      </c>
      <c r="F22" s="61">
        <f>5.94*0.83</f>
        <v>4.9302</v>
      </c>
      <c r="G22" s="61">
        <f>38.75*0.83</f>
        <v>32.1625</v>
      </c>
      <c r="H22" s="61">
        <f>223.74*0.83</f>
        <v>185.7042</v>
      </c>
      <c r="I22" s="69">
        <v>183</v>
      </c>
    </row>
    <row r="23" spans="2:9" ht="12.75">
      <c r="B23" s="112"/>
      <c r="C23" s="63" t="s">
        <v>104</v>
      </c>
      <c r="D23" s="64">
        <v>30</v>
      </c>
      <c r="E23" s="65">
        <v>2.4</v>
      </c>
      <c r="F23" s="65">
        <v>0.4</v>
      </c>
      <c r="G23" s="65">
        <f>15.8*200/150</f>
        <v>21.066666666666666</v>
      </c>
      <c r="H23" s="66">
        <f>77.4*200/150</f>
        <v>103.20000000000002</v>
      </c>
      <c r="I23" s="70">
        <v>119</v>
      </c>
    </row>
    <row r="24" spans="2:9" ht="12.75">
      <c r="B24" s="112"/>
      <c r="C24" s="55" t="s">
        <v>24</v>
      </c>
      <c r="D24" s="61">
        <v>60</v>
      </c>
      <c r="E24" s="61">
        <v>3.42</v>
      </c>
      <c r="F24" s="61">
        <v>0.66</v>
      </c>
      <c r="G24" s="61">
        <v>22.32</v>
      </c>
      <c r="H24" s="61">
        <v>108.78</v>
      </c>
      <c r="I24" s="69">
        <v>120</v>
      </c>
    </row>
    <row r="25" spans="2:9" ht="25.5">
      <c r="B25" s="112"/>
      <c r="C25" s="55" t="s">
        <v>38</v>
      </c>
      <c r="D25" s="61">
        <v>200</v>
      </c>
      <c r="E25" s="61">
        <v>0.2</v>
      </c>
      <c r="F25" s="61">
        <v>0</v>
      </c>
      <c r="G25" s="61">
        <v>20.4</v>
      </c>
      <c r="H25" s="61">
        <v>82</v>
      </c>
      <c r="I25" s="69">
        <v>103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7"/>
      <c r="D28" s="14">
        <f>SUM(D18:D27)</f>
        <v>840</v>
      </c>
      <c r="E28" s="14">
        <f>SUM(E18:E27)</f>
        <v>38.1188</v>
      </c>
      <c r="F28" s="14">
        <f>SUM(F18:F27)</f>
        <v>20.984199999999998</v>
      </c>
      <c r="G28" s="14">
        <f>SUM(G18:G27)</f>
        <v>118.88116666666667</v>
      </c>
      <c r="H28" s="14">
        <f>SUM(H18:H27)</f>
        <v>820.5642</v>
      </c>
      <c r="I28" s="11"/>
    </row>
    <row r="29" spans="2:9" ht="12.75">
      <c r="B29" s="8" t="s">
        <v>13</v>
      </c>
      <c r="C29" s="7"/>
      <c r="D29" s="14">
        <f>D17+D28</f>
        <v>1640</v>
      </c>
      <c r="E29" s="14">
        <f>E17+E28</f>
        <v>56.4688</v>
      </c>
      <c r="F29" s="14">
        <f>F17+F28</f>
        <v>34.7342</v>
      </c>
      <c r="G29" s="14">
        <f>G17+G28</f>
        <v>197.88116666666667</v>
      </c>
      <c r="H29" s="14">
        <f>H17+H28</f>
        <v>1381.7642</v>
      </c>
      <c r="I29" s="11"/>
    </row>
    <row r="30" ht="12.75">
      <c r="B30" s="8" t="s">
        <v>14</v>
      </c>
    </row>
    <row r="31" spans="3:8" ht="12.75">
      <c r="C31" s="108"/>
      <c r="D31" s="108"/>
      <c r="E31" s="108"/>
      <c r="F31" s="109"/>
      <c r="G31" s="109"/>
      <c r="H31" s="109"/>
    </row>
    <row r="32" spans="3:8" ht="12.75">
      <c r="C32" s="108"/>
      <c r="D32" s="110"/>
      <c r="E32" s="110"/>
      <c r="F32" s="110"/>
      <c r="G32" s="110"/>
      <c r="H32" s="110"/>
    </row>
    <row r="33" spans="4:8" ht="12.75">
      <c r="D33" s="39"/>
      <c r="E33" s="85"/>
      <c r="F33" s="85"/>
      <c r="G33" s="85"/>
      <c r="H33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98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75390625" style="1" customWidth="1"/>
    <col min="4" max="4" width="9.87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6">
        <v>2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87</v>
      </c>
      <c r="D10" s="51">
        <v>250</v>
      </c>
      <c r="E10" s="51">
        <v>6.5</v>
      </c>
      <c r="F10" s="51">
        <v>8.25</v>
      </c>
      <c r="G10" s="51">
        <v>34.5</v>
      </c>
      <c r="H10" s="51">
        <v>238.25</v>
      </c>
      <c r="I10" s="91" t="s">
        <v>88</v>
      </c>
    </row>
    <row r="11" spans="2:9" ht="12.75">
      <c r="B11" s="112"/>
      <c r="C11" s="49" t="s">
        <v>72</v>
      </c>
      <c r="D11" s="51">
        <v>10</v>
      </c>
      <c r="E11" s="51">
        <v>0.08</v>
      </c>
      <c r="F11" s="51">
        <v>7.25</v>
      </c>
      <c r="G11" s="51">
        <v>0.13</v>
      </c>
      <c r="H11" s="51">
        <v>66.09</v>
      </c>
      <c r="I11" s="91" t="s">
        <v>73</v>
      </c>
    </row>
    <row r="12" spans="2:9" ht="12.75">
      <c r="B12" s="112"/>
      <c r="C12" s="49" t="s">
        <v>23</v>
      </c>
      <c r="D12" s="51">
        <v>50</v>
      </c>
      <c r="E12" s="51">
        <v>3.55</v>
      </c>
      <c r="F12" s="51">
        <v>0.35</v>
      </c>
      <c r="G12" s="51">
        <v>22.1</v>
      </c>
      <c r="H12" s="51">
        <v>120</v>
      </c>
      <c r="I12" s="92">
        <v>119</v>
      </c>
    </row>
    <row r="13" spans="2:9" ht="12.75">
      <c r="B13" s="112"/>
      <c r="C13" s="49" t="s">
        <v>101</v>
      </c>
      <c r="D13" s="51">
        <v>200</v>
      </c>
      <c r="E13" s="51">
        <v>0.2</v>
      </c>
      <c r="F13" s="51">
        <v>0</v>
      </c>
      <c r="G13" s="51">
        <v>11</v>
      </c>
      <c r="H13" s="51">
        <v>44.8</v>
      </c>
      <c r="I13" s="48">
        <v>114</v>
      </c>
    </row>
    <row r="14" spans="2:9" ht="12.75">
      <c r="B14" s="112"/>
      <c r="C14" s="49" t="s">
        <v>78</v>
      </c>
      <c r="D14" s="51">
        <v>100</v>
      </c>
      <c r="E14" s="51">
        <v>0.4</v>
      </c>
      <c r="F14" s="51">
        <v>0</v>
      </c>
      <c r="G14" s="51">
        <v>11.3</v>
      </c>
      <c r="H14" s="51">
        <v>46</v>
      </c>
      <c r="I14" s="48">
        <v>24</v>
      </c>
    </row>
    <row r="15" spans="2:9" ht="12.75">
      <c r="B15" s="112"/>
      <c r="C15" s="106"/>
      <c r="D15" s="105"/>
      <c r="E15" s="105"/>
      <c r="F15" s="105"/>
      <c r="G15" s="105"/>
      <c r="H15" s="105"/>
      <c r="I15" s="100"/>
    </row>
    <row r="16" spans="2:9" ht="12.75">
      <c r="B16" s="112"/>
      <c r="C16" s="49" t="s">
        <v>134</v>
      </c>
      <c r="D16" s="51">
        <v>200</v>
      </c>
      <c r="E16" s="51">
        <v>0</v>
      </c>
      <c r="F16" s="51">
        <v>0</v>
      </c>
      <c r="G16" s="51">
        <v>22.8</v>
      </c>
      <c r="H16" s="51">
        <v>46</v>
      </c>
      <c r="I16" s="90">
        <v>107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112"/>
      <c r="C18" s="7"/>
      <c r="D18" s="13">
        <f>SUM(D9:D17)</f>
        <v>810</v>
      </c>
      <c r="E18" s="13">
        <f>SUM(E9:E17)</f>
        <v>10.729999999999999</v>
      </c>
      <c r="F18" s="13">
        <f>SUM(F9:F17)</f>
        <v>15.85</v>
      </c>
      <c r="G18" s="13">
        <f>SUM(G9:G17)</f>
        <v>101.83</v>
      </c>
      <c r="H18" s="14">
        <f>SUM(H9:H17)</f>
        <v>561.1400000000001</v>
      </c>
      <c r="I18" s="94"/>
    </row>
    <row r="19" spans="2:9" ht="12.75">
      <c r="B19" s="8" t="s">
        <v>10</v>
      </c>
      <c r="C19" s="5"/>
      <c r="D19" s="12"/>
      <c r="E19" s="12"/>
      <c r="F19" s="12"/>
      <c r="G19" s="12"/>
      <c r="H19" s="12"/>
      <c r="I19" s="93"/>
    </row>
    <row r="20" spans="2:9" ht="12.75">
      <c r="B20" s="112" t="s">
        <v>12</v>
      </c>
      <c r="C20" s="55" t="s">
        <v>141</v>
      </c>
      <c r="D20" s="56">
        <v>60</v>
      </c>
      <c r="E20" s="57">
        <v>1.2</v>
      </c>
      <c r="F20" s="57">
        <v>5.4</v>
      </c>
      <c r="G20" s="57">
        <v>5.16</v>
      </c>
      <c r="H20" s="57">
        <v>73.2</v>
      </c>
      <c r="I20" s="58">
        <v>135</v>
      </c>
    </row>
    <row r="21" spans="2:9" ht="12.75">
      <c r="B21" s="112"/>
      <c r="C21" s="55" t="s">
        <v>39</v>
      </c>
      <c r="D21" s="61">
        <v>250</v>
      </c>
      <c r="E21" s="61">
        <v>7.75</v>
      </c>
      <c r="F21" s="61">
        <v>11</v>
      </c>
      <c r="G21" s="61">
        <v>12.25</v>
      </c>
      <c r="H21" s="61">
        <v>178.25</v>
      </c>
      <c r="I21" s="95">
        <v>32</v>
      </c>
    </row>
    <row r="22" spans="2:9" ht="12.75">
      <c r="B22" s="112"/>
      <c r="C22" s="55" t="s">
        <v>40</v>
      </c>
      <c r="D22" s="61">
        <v>280</v>
      </c>
      <c r="E22" s="61">
        <v>29.68</v>
      </c>
      <c r="F22" s="61">
        <v>17.36</v>
      </c>
      <c r="G22" s="61">
        <v>44.52</v>
      </c>
      <c r="H22" s="61">
        <v>452.76</v>
      </c>
      <c r="I22" s="95">
        <v>79</v>
      </c>
    </row>
    <row r="23" spans="2:9" ht="12.75">
      <c r="B23" s="112"/>
      <c r="C23" s="63" t="s">
        <v>104</v>
      </c>
      <c r="D23" s="64">
        <v>30</v>
      </c>
      <c r="E23" s="65">
        <v>2.4</v>
      </c>
      <c r="F23" s="65">
        <v>0.4</v>
      </c>
      <c r="G23" s="65">
        <f>15.8*200/150</f>
        <v>21.066666666666666</v>
      </c>
      <c r="H23" s="66">
        <f>77.4*200/150</f>
        <v>103.20000000000002</v>
      </c>
      <c r="I23" s="62">
        <v>119</v>
      </c>
    </row>
    <row r="24" spans="2:9" ht="12.75">
      <c r="B24" s="112"/>
      <c r="C24" s="55" t="s">
        <v>24</v>
      </c>
      <c r="D24" s="61">
        <v>60</v>
      </c>
      <c r="E24" s="61">
        <v>3.42</v>
      </c>
      <c r="F24" s="61">
        <v>0.66</v>
      </c>
      <c r="G24" s="61">
        <v>22.32</v>
      </c>
      <c r="H24" s="61">
        <v>108.78</v>
      </c>
      <c r="I24" s="95">
        <v>120</v>
      </c>
    </row>
    <row r="25" spans="2:9" ht="12.75">
      <c r="B25" s="112"/>
      <c r="C25" s="55" t="s">
        <v>41</v>
      </c>
      <c r="D25" s="61">
        <v>200</v>
      </c>
      <c r="E25" s="61">
        <v>0.5</v>
      </c>
      <c r="F25" s="61">
        <v>0</v>
      </c>
      <c r="G25" s="61">
        <v>15.84</v>
      </c>
      <c r="H25" s="61">
        <v>65.36</v>
      </c>
      <c r="I25" s="95">
        <v>96</v>
      </c>
    </row>
    <row r="26" spans="2:9" ht="12.75">
      <c r="B26" s="112"/>
      <c r="C26" s="5"/>
      <c r="D26" s="12"/>
      <c r="E26" s="12"/>
      <c r="F26" s="12"/>
      <c r="G26" s="12"/>
      <c r="H26" s="12"/>
      <c r="I26" s="10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112"/>
      <c r="C29" s="7"/>
      <c r="D29" s="14">
        <f>SUM(D19:D28)</f>
        <v>880</v>
      </c>
      <c r="E29" s="14">
        <f>SUM(E19:E28)</f>
        <v>44.949999999999996</v>
      </c>
      <c r="F29" s="14">
        <f>SUM(F19:F28)</f>
        <v>34.81999999999999</v>
      </c>
      <c r="G29" s="14">
        <f>SUM(G19:G28)</f>
        <v>121.15666666666667</v>
      </c>
      <c r="H29" s="14">
        <f>SUM(H19:H28)</f>
        <v>981.5500000000001</v>
      </c>
      <c r="I29" s="11"/>
    </row>
    <row r="30" spans="2:9" ht="12.75">
      <c r="B30" s="8" t="s">
        <v>13</v>
      </c>
      <c r="C30" s="7"/>
      <c r="D30" s="14">
        <f>D18+D29</f>
        <v>1690</v>
      </c>
      <c r="E30" s="14">
        <f>E18+E29</f>
        <v>55.67999999999999</v>
      </c>
      <c r="F30" s="14">
        <f>F18+F29</f>
        <v>50.669999999999995</v>
      </c>
      <c r="G30" s="14">
        <f>G18+G29</f>
        <v>222.98666666666668</v>
      </c>
      <c r="H30" s="14">
        <f>H18+H29</f>
        <v>1542.69</v>
      </c>
      <c r="I30" s="11"/>
    </row>
    <row r="31" ht="12.75">
      <c r="B31" s="8" t="s">
        <v>14</v>
      </c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8"/>
    <mergeCell ref="B20:B29"/>
    <mergeCell ref="B7:B8"/>
    <mergeCell ref="C7:C8"/>
    <mergeCell ref="D7:D8"/>
    <mergeCell ref="E7:G7"/>
  </mergeCells>
  <printOptions/>
  <pageMargins left="2.13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5"/>
  <sheetViews>
    <sheetView zoomScalePageLayoutView="0" workbookViewId="0" topLeftCell="A1">
      <selection activeCell="C33" sqref="C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37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112"/>
      <c r="C10" s="49" t="s">
        <v>122</v>
      </c>
      <c r="D10" s="50">
        <v>205</v>
      </c>
      <c r="E10" s="51">
        <v>7.17</v>
      </c>
      <c r="F10" s="51">
        <v>7.38</v>
      </c>
      <c r="G10" s="51">
        <v>35.05</v>
      </c>
      <c r="H10" s="51">
        <v>234.72</v>
      </c>
      <c r="I10" s="48">
        <v>123</v>
      </c>
    </row>
    <row r="11" spans="2:9" ht="12.75">
      <c r="B11" s="112"/>
      <c r="C11" s="49" t="s">
        <v>100</v>
      </c>
      <c r="D11" s="50">
        <v>75</v>
      </c>
      <c r="E11" s="51">
        <v>9.22</v>
      </c>
      <c r="F11" s="51">
        <v>8.1</v>
      </c>
      <c r="G11" s="51">
        <v>32.5</v>
      </c>
      <c r="H11" s="51">
        <v>199.8</v>
      </c>
      <c r="I11" s="48">
        <v>189</v>
      </c>
    </row>
    <row r="12" spans="2:9" ht="12.75">
      <c r="B12" s="112"/>
      <c r="C12" s="49" t="s">
        <v>24</v>
      </c>
      <c r="D12" s="50">
        <v>20</v>
      </c>
      <c r="E12" s="51">
        <v>1.14</v>
      </c>
      <c r="F12" s="51">
        <v>0.22</v>
      </c>
      <c r="G12" s="51">
        <v>7.44</v>
      </c>
      <c r="H12" s="51">
        <v>36.26</v>
      </c>
      <c r="I12" s="48">
        <v>120</v>
      </c>
    </row>
    <row r="13" spans="2:9" ht="12.75">
      <c r="B13" s="112"/>
      <c r="C13" s="52" t="s">
        <v>123</v>
      </c>
      <c r="D13" s="53">
        <v>200</v>
      </c>
      <c r="E13" s="54">
        <v>0.4</v>
      </c>
      <c r="F13" s="54">
        <v>0.2</v>
      </c>
      <c r="G13" s="54">
        <v>11.2</v>
      </c>
      <c r="H13" s="47">
        <v>47</v>
      </c>
      <c r="I13" s="48">
        <v>158</v>
      </c>
    </row>
    <row r="14" spans="2:9" ht="12.75">
      <c r="B14" s="112"/>
      <c r="C14" s="52" t="s">
        <v>111</v>
      </c>
      <c r="D14" s="53">
        <v>100</v>
      </c>
      <c r="E14" s="54">
        <f>0.6*100/150</f>
        <v>0.4</v>
      </c>
      <c r="F14" s="54">
        <v>0</v>
      </c>
      <c r="G14" s="54">
        <f>16.95*100/150</f>
        <v>11.3</v>
      </c>
      <c r="H14" s="47">
        <f>69*100/150</f>
        <v>46</v>
      </c>
      <c r="I14" s="48">
        <v>24</v>
      </c>
    </row>
    <row r="15" spans="2:9" ht="12.75">
      <c r="B15" s="112"/>
      <c r="C15" s="52" t="s">
        <v>156</v>
      </c>
      <c r="D15" s="53">
        <v>50</v>
      </c>
      <c r="E15" s="54">
        <f>5.36*50/80</f>
        <v>3.35</v>
      </c>
      <c r="F15" s="54">
        <f>20.56*50/80</f>
        <v>12.85</v>
      </c>
      <c r="G15" s="54">
        <f>51.76*50/80</f>
        <v>32.35</v>
      </c>
      <c r="H15" s="47">
        <f>351.2*50/80</f>
        <v>219.5</v>
      </c>
      <c r="I15" s="48"/>
    </row>
    <row r="16" spans="2:9" ht="12.75">
      <c r="B16" s="112"/>
      <c r="C16" s="96"/>
      <c r="D16" s="97"/>
      <c r="E16" s="98"/>
      <c r="F16" s="98"/>
      <c r="G16" s="98"/>
      <c r="H16" s="99"/>
      <c r="I16" s="100"/>
    </row>
    <row r="17" spans="2:9" ht="12.75">
      <c r="B17" s="112"/>
      <c r="C17" s="49" t="s">
        <v>150</v>
      </c>
      <c r="D17" s="51">
        <v>200</v>
      </c>
      <c r="E17" s="51">
        <v>8</v>
      </c>
      <c r="F17" s="51">
        <v>3.3</v>
      </c>
      <c r="G17" s="51">
        <v>16</v>
      </c>
      <c r="H17" s="51">
        <v>145</v>
      </c>
      <c r="I17" s="48" t="s">
        <v>159</v>
      </c>
    </row>
    <row r="18" spans="2:9" ht="12.75">
      <c r="B18" s="112"/>
      <c r="C18" s="5"/>
      <c r="D18" s="12"/>
      <c r="E18" s="12"/>
      <c r="F18" s="12"/>
      <c r="G18" s="12"/>
      <c r="H18" s="12"/>
      <c r="I18" s="89"/>
    </row>
    <row r="19" spans="2:9" ht="12.75">
      <c r="B19" s="8" t="s">
        <v>10</v>
      </c>
      <c r="C19" s="7"/>
      <c r="D19" s="13">
        <f>SUM(D9:D18)</f>
        <v>850</v>
      </c>
      <c r="E19" s="13">
        <f>SUM(E9:E18)</f>
        <v>29.68</v>
      </c>
      <c r="F19" s="13">
        <f>SUM(F9:F18)</f>
        <v>32.05</v>
      </c>
      <c r="G19" s="13">
        <f>SUM(G9:G18)</f>
        <v>145.84</v>
      </c>
      <c r="H19" s="14">
        <f>SUM(H9:H18)</f>
        <v>928.28</v>
      </c>
      <c r="I19" s="102"/>
    </row>
    <row r="20" spans="2:9" ht="12.75">
      <c r="B20" s="112" t="s">
        <v>12</v>
      </c>
      <c r="C20" s="5"/>
      <c r="D20" s="12"/>
      <c r="E20" s="12"/>
      <c r="F20" s="12"/>
      <c r="G20" s="12"/>
      <c r="H20" s="12"/>
      <c r="I20" s="89"/>
    </row>
    <row r="21" spans="2:9" ht="12.75">
      <c r="B21" s="112"/>
      <c r="C21" s="55" t="s">
        <v>124</v>
      </c>
      <c r="D21" s="56">
        <v>60</v>
      </c>
      <c r="E21" s="57">
        <v>0.42</v>
      </c>
      <c r="F21" s="57">
        <v>0.06</v>
      </c>
      <c r="G21" s="57">
        <v>1.02</v>
      </c>
      <c r="H21" s="57">
        <v>6.18</v>
      </c>
      <c r="I21" s="58">
        <v>28</v>
      </c>
    </row>
    <row r="22" spans="2:9" ht="12.75">
      <c r="B22" s="112"/>
      <c r="C22" s="55" t="s">
        <v>53</v>
      </c>
      <c r="D22" s="56">
        <v>250</v>
      </c>
      <c r="E22" s="57">
        <v>6</v>
      </c>
      <c r="F22" s="57">
        <v>9.5</v>
      </c>
      <c r="G22" s="57">
        <v>11.25</v>
      </c>
      <c r="H22" s="57">
        <v>206</v>
      </c>
      <c r="I22" s="58">
        <v>35</v>
      </c>
    </row>
    <row r="23" spans="2:9" ht="15" customHeight="1">
      <c r="B23" s="112"/>
      <c r="C23" s="55" t="s">
        <v>125</v>
      </c>
      <c r="D23" s="72">
        <v>90</v>
      </c>
      <c r="E23" s="57">
        <v>11.61</v>
      </c>
      <c r="F23" s="57">
        <v>7.02</v>
      </c>
      <c r="G23" s="57">
        <v>2.52</v>
      </c>
      <c r="H23" s="57">
        <v>119.43</v>
      </c>
      <c r="I23" s="58">
        <v>179</v>
      </c>
    </row>
    <row r="24" spans="2:9" ht="12.75">
      <c r="B24" s="112"/>
      <c r="C24" s="55" t="s">
        <v>126</v>
      </c>
      <c r="D24" s="60">
        <v>150</v>
      </c>
      <c r="E24" s="61">
        <v>3.3</v>
      </c>
      <c r="F24" s="61">
        <v>7.8</v>
      </c>
      <c r="G24" s="61">
        <v>22.35</v>
      </c>
      <c r="H24" s="61">
        <v>173.1</v>
      </c>
      <c r="I24" s="58">
        <v>50</v>
      </c>
    </row>
    <row r="25" spans="2:9" ht="12.75">
      <c r="B25" s="112"/>
      <c r="C25" s="55" t="s">
        <v>23</v>
      </c>
      <c r="D25" s="60">
        <v>60</v>
      </c>
      <c r="E25" s="61">
        <v>4.26</v>
      </c>
      <c r="F25" s="61">
        <v>0.42</v>
      </c>
      <c r="G25" s="61">
        <v>26.52</v>
      </c>
      <c r="H25" s="61">
        <v>144</v>
      </c>
      <c r="I25" s="58">
        <v>119</v>
      </c>
    </row>
    <row r="26" spans="2:9" ht="12.75">
      <c r="B26" s="112"/>
      <c r="C26" s="63" t="s">
        <v>127</v>
      </c>
      <c r="D26" s="64">
        <v>25</v>
      </c>
      <c r="E26" s="65">
        <v>1.42</v>
      </c>
      <c r="F26" s="65">
        <v>0.27</v>
      </c>
      <c r="G26" s="65">
        <v>9.3</v>
      </c>
      <c r="H26" s="66">
        <v>45.32</v>
      </c>
      <c r="I26" s="58">
        <v>120</v>
      </c>
    </row>
    <row r="27" spans="2:9" ht="12.75">
      <c r="B27" s="112"/>
      <c r="C27" s="55" t="s">
        <v>128</v>
      </c>
      <c r="D27" s="68">
        <v>200</v>
      </c>
      <c r="E27" s="61">
        <v>0</v>
      </c>
      <c r="F27" s="61">
        <v>0</v>
      </c>
      <c r="G27" s="61">
        <v>24.4</v>
      </c>
      <c r="H27" s="61">
        <v>97.6</v>
      </c>
      <c r="I27" s="58">
        <v>95</v>
      </c>
    </row>
    <row r="28" spans="2:9" ht="12.75">
      <c r="B28" s="112"/>
      <c r="C28" s="5"/>
      <c r="D28" s="12"/>
      <c r="E28" s="12"/>
      <c r="F28" s="12"/>
      <c r="G28" s="12"/>
      <c r="H28" s="12"/>
      <c r="I28" s="89"/>
    </row>
    <row r="29" spans="2:9" ht="12.75">
      <c r="B29" s="112"/>
      <c r="C29" s="5"/>
      <c r="D29" s="12"/>
      <c r="E29" s="12"/>
      <c r="F29" s="12"/>
      <c r="G29" s="12"/>
      <c r="H29" s="12"/>
      <c r="I29" s="89"/>
    </row>
    <row r="30" spans="2:9" ht="12.75">
      <c r="B30" s="8" t="s">
        <v>13</v>
      </c>
      <c r="C30" s="7"/>
      <c r="D30" s="14">
        <f>SUM(D20:D29)</f>
        <v>835</v>
      </c>
      <c r="E30" s="14">
        <f>SUM(E20:E29)</f>
        <v>27.010000000000005</v>
      </c>
      <c r="F30" s="14">
        <f>SUM(F20:F29)</f>
        <v>25.07</v>
      </c>
      <c r="G30" s="14">
        <f>SUM(G20:G29)</f>
        <v>97.35999999999999</v>
      </c>
      <c r="H30" s="14">
        <f>SUM(H20:H29)</f>
        <v>791.6300000000001</v>
      </c>
      <c r="I30" s="102"/>
    </row>
    <row r="31" spans="2:9" ht="12.75">
      <c r="B31" s="8" t="s">
        <v>14</v>
      </c>
      <c r="C31" s="7"/>
      <c r="D31" s="14">
        <f>D19+D30</f>
        <v>1685</v>
      </c>
      <c r="E31" s="14">
        <f>E19+E30</f>
        <v>56.690000000000005</v>
      </c>
      <c r="F31" s="14">
        <f>F19+F30</f>
        <v>57.12</v>
      </c>
      <c r="G31" s="14">
        <f>G19+G30</f>
        <v>243.2</v>
      </c>
      <c r="H31" s="14">
        <f>H19+H30</f>
        <v>1719.91</v>
      </c>
      <c r="I31" s="102"/>
    </row>
    <row r="33" spans="3:8" ht="12.75">
      <c r="C33" s="108"/>
      <c r="D33" s="108"/>
      <c r="E33" s="108"/>
      <c r="F33" s="109"/>
      <c r="G33" s="109"/>
      <c r="H33" s="109"/>
    </row>
    <row r="34" spans="3:8" ht="12.75">
      <c r="C34" s="108"/>
      <c r="D34" s="110"/>
      <c r="E34" s="110"/>
      <c r="F34" s="110"/>
      <c r="G34" s="110"/>
      <c r="H34" s="110"/>
    </row>
    <row r="35" spans="4:8" ht="12.75">
      <c r="D35" s="39"/>
      <c r="E35" s="85"/>
      <c r="F35" s="85"/>
      <c r="G35" s="85"/>
      <c r="H35" s="85"/>
    </row>
  </sheetData>
  <sheetProtection/>
  <mergeCells count="8">
    <mergeCell ref="H7:H8"/>
    <mergeCell ref="I7:I8"/>
    <mergeCell ref="B9:B18"/>
    <mergeCell ref="B20:B29"/>
    <mergeCell ref="B7:B8"/>
    <mergeCell ref="C7:C8"/>
    <mergeCell ref="D7:D8"/>
    <mergeCell ref="E7:G7"/>
  </mergeCells>
  <printOptions/>
  <pageMargins left="2.13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25390625" style="1" customWidth="1"/>
    <col min="4" max="4" width="11.25390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8">
        <v>2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129</v>
      </c>
      <c r="D10" s="50">
        <v>200</v>
      </c>
      <c r="E10" s="51">
        <v>13.8</v>
      </c>
      <c r="F10" s="51">
        <v>14.4</v>
      </c>
      <c r="G10" s="51">
        <v>16.4</v>
      </c>
      <c r="H10" s="51">
        <v>195.6</v>
      </c>
      <c r="I10" s="48">
        <v>167</v>
      </c>
    </row>
    <row r="11" spans="2:9" ht="12.75">
      <c r="B11" s="112"/>
      <c r="C11" s="75" t="s">
        <v>130</v>
      </c>
      <c r="D11" s="76" t="s">
        <v>109</v>
      </c>
      <c r="E11" s="51">
        <v>2.16</v>
      </c>
      <c r="F11" s="51">
        <v>0.81</v>
      </c>
      <c r="G11" s="51">
        <v>14.73</v>
      </c>
      <c r="H11" s="51">
        <v>75.66</v>
      </c>
      <c r="I11" s="48">
        <v>121</v>
      </c>
    </row>
    <row r="12" spans="2:9" ht="12.75">
      <c r="B12" s="112"/>
      <c r="C12" s="49" t="s">
        <v>110</v>
      </c>
      <c r="D12" s="50">
        <v>200</v>
      </c>
      <c r="E12" s="51">
        <v>6.2</v>
      </c>
      <c r="F12" s="51">
        <v>4.8</v>
      </c>
      <c r="G12" s="51">
        <v>24</v>
      </c>
      <c r="H12" s="51">
        <v>164.6</v>
      </c>
      <c r="I12" s="48">
        <v>161</v>
      </c>
    </row>
    <row r="13" spans="2:9" ht="12.75">
      <c r="B13" s="112"/>
      <c r="C13" s="52" t="s">
        <v>131</v>
      </c>
      <c r="D13" s="53">
        <v>100</v>
      </c>
      <c r="E13" s="54">
        <f>0.6*100/150</f>
        <v>0.4</v>
      </c>
      <c r="F13" s="54">
        <f>0.45*100/150</f>
        <v>0.3</v>
      </c>
      <c r="G13" s="54">
        <f>15.9*100/150</f>
        <v>10.6</v>
      </c>
      <c r="H13" s="47">
        <f>54.9*100/150</f>
        <v>36.6</v>
      </c>
      <c r="I13" s="48">
        <v>25</v>
      </c>
    </row>
    <row r="14" spans="2:9" ht="12.75">
      <c r="B14" s="112"/>
      <c r="C14" s="75" t="s">
        <v>151</v>
      </c>
      <c r="D14" s="83">
        <v>50</v>
      </c>
      <c r="E14" s="51">
        <f>0.18*50/60</f>
        <v>0.15</v>
      </c>
      <c r="F14" s="51">
        <v>0</v>
      </c>
      <c r="G14" s="51">
        <f>46*50/60</f>
        <v>38.333333333333336</v>
      </c>
      <c r="H14" s="51">
        <f>157.5*50/60</f>
        <v>131.25</v>
      </c>
      <c r="I14" s="48">
        <v>162</v>
      </c>
    </row>
    <row r="15" spans="2:9" ht="12.75">
      <c r="B15" s="112"/>
      <c r="C15" s="103"/>
      <c r="D15" s="104"/>
      <c r="E15" s="105"/>
      <c r="F15" s="105"/>
      <c r="G15" s="105"/>
      <c r="H15" s="105"/>
      <c r="I15" s="100"/>
    </row>
    <row r="16" spans="2:9" ht="12.75">
      <c r="B16" s="112"/>
      <c r="C16" s="49" t="s">
        <v>149</v>
      </c>
      <c r="D16" s="51">
        <v>200</v>
      </c>
      <c r="E16" s="51">
        <v>6</v>
      </c>
      <c r="F16" s="51">
        <v>6</v>
      </c>
      <c r="G16" s="51">
        <v>8.4</v>
      </c>
      <c r="H16" s="51">
        <v>150</v>
      </c>
      <c r="I16" s="48" t="s">
        <v>159</v>
      </c>
    </row>
    <row r="17" spans="2:9" ht="12.75">
      <c r="B17" s="112"/>
      <c r="C17" s="5"/>
      <c r="D17" s="12"/>
      <c r="E17" s="12"/>
      <c r="F17" s="12"/>
      <c r="G17" s="12"/>
      <c r="H17" s="12"/>
      <c r="I17" s="10"/>
    </row>
    <row r="18" spans="2:9" ht="12.75">
      <c r="B18" s="8" t="s">
        <v>10</v>
      </c>
      <c r="C18" s="7"/>
      <c r="D18" s="13">
        <f>SUM(D9:D17)</f>
        <v>750</v>
      </c>
      <c r="E18" s="13">
        <f>SUM(E9:E17)</f>
        <v>28.709999999999997</v>
      </c>
      <c r="F18" s="13">
        <f>SUM(F9:F17)</f>
        <v>26.310000000000002</v>
      </c>
      <c r="G18" s="13">
        <f>SUM(G9:G17)</f>
        <v>112.46333333333334</v>
      </c>
      <c r="H18" s="14">
        <f>SUM(H9:H17)</f>
        <v>753.71</v>
      </c>
      <c r="I18" s="11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10"/>
    </row>
    <row r="20" spans="2:9" ht="12.75">
      <c r="B20" s="112"/>
      <c r="C20" s="55" t="s">
        <v>43</v>
      </c>
      <c r="D20" s="68">
        <v>60</v>
      </c>
      <c r="E20" s="61">
        <v>1.86</v>
      </c>
      <c r="F20" s="61">
        <v>0.12</v>
      </c>
      <c r="G20" s="61">
        <v>4.26</v>
      </c>
      <c r="H20" s="61">
        <v>24.6</v>
      </c>
      <c r="I20" s="58">
        <v>172</v>
      </c>
    </row>
    <row r="21" spans="2:9" ht="12.75">
      <c r="B21" s="112"/>
      <c r="C21" s="55" t="s">
        <v>44</v>
      </c>
      <c r="D21" s="68">
        <v>250</v>
      </c>
      <c r="E21" s="61">
        <v>9</v>
      </c>
      <c r="F21" s="61">
        <v>8</v>
      </c>
      <c r="G21" s="61">
        <v>10</v>
      </c>
      <c r="H21" s="61">
        <v>196</v>
      </c>
      <c r="I21" s="58">
        <v>48</v>
      </c>
    </row>
    <row r="22" spans="2:9" ht="12.75">
      <c r="B22" s="112"/>
      <c r="C22" s="55" t="s">
        <v>132</v>
      </c>
      <c r="D22" s="60">
        <v>90</v>
      </c>
      <c r="E22" s="61">
        <v>14.85</v>
      </c>
      <c r="F22" s="61">
        <v>13.3</v>
      </c>
      <c r="G22" s="61">
        <v>5.9</v>
      </c>
      <c r="H22" s="61">
        <v>202.68</v>
      </c>
      <c r="I22" s="58">
        <v>80</v>
      </c>
    </row>
    <row r="23" spans="2:9" ht="12.75">
      <c r="B23" s="112"/>
      <c r="C23" s="55" t="s">
        <v>133</v>
      </c>
      <c r="D23" s="60">
        <v>150</v>
      </c>
      <c r="E23" s="61">
        <v>3.6</v>
      </c>
      <c r="F23" s="61">
        <v>4.9</v>
      </c>
      <c r="G23" s="61">
        <v>24.6</v>
      </c>
      <c r="H23" s="61">
        <v>156.6</v>
      </c>
      <c r="I23" s="58">
        <v>54</v>
      </c>
    </row>
    <row r="24" spans="2:9" ht="12.75">
      <c r="B24" s="112"/>
      <c r="C24" s="63" t="s">
        <v>104</v>
      </c>
      <c r="D24" s="64">
        <v>45</v>
      </c>
      <c r="E24" s="65">
        <v>3.6</v>
      </c>
      <c r="F24" s="65">
        <v>0.6</v>
      </c>
      <c r="G24" s="65">
        <v>23.7</v>
      </c>
      <c r="H24" s="66">
        <v>116.1</v>
      </c>
      <c r="I24" s="58">
        <v>119</v>
      </c>
    </row>
    <row r="25" spans="2:9" ht="12.75">
      <c r="B25" s="112"/>
      <c r="C25" s="67" t="s">
        <v>134</v>
      </c>
      <c r="D25" s="56">
        <v>200</v>
      </c>
      <c r="E25" s="57">
        <v>1</v>
      </c>
      <c r="F25" s="57">
        <v>0</v>
      </c>
      <c r="G25" s="57">
        <v>27.4</v>
      </c>
      <c r="H25" s="57">
        <v>112</v>
      </c>
      <c r="I25" s="58">
        <v>111</v>
      </c>
    </row>
    <row r="26" spans="2:9" ht="12.75">
      <c r="B26" s="112"/>
      <c r="C26" s="67" t="s">
        <v>135</v>
      </c>
      <c r="D26" s="56">
        <v>100</v>
      </c>
      <c r="E26" s="57">
        <v>0.4</v>
      </c>
      <c r="F26" s="57">
        <v>0.4</v>
      </c>
      <c r="G26" s="57">
        <v>6.5</v>
      </c>
      <c r="H26" s="57"/>
      <c r="I26" s="58"/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895</v>
      </c>
      <c r="E29" s="14">
        <f>SUM(E19:E28)</f>
        <v>34.31</v>
      </c>
      <c r="F29" s="14">
        <f>SUM(F19:F28)</f>
        <v>27.32</v>
      </c>
      <c r="G29" s="14">
        <f>SUM(G19:G28)</f>
        <v>102.36000000000001</v>
      </c>
      <c r="H29" s="14">
        <f>SUM(H19:H28)</f>
        <v>807.98</v>
      </c>
      <c r="I29" s="11"/>
    </row>
    <row r="30" spans="2:9" ht="12.75">
      <c r="B30" s="8" t="s">
        <v>14</v>
      </c>
      <c r="C30" s="7"/>
      <c r="D30" s="14">
        <f>D18+D29</f>
        <v>1645</v>
      </c>
      <c r="E30" s="14">
        <f>E18+E29</f>
        <v>63.019999999999996</v>
      </c>
      <c r="F30" s="14">
        <f>F18+F29</f>
        <v>53.63</v>
      </c>
      <c r="G30" s="14">
        <f>G18+G29</f>
        <v>214.82333333333335</v>
      </c>
      <c r="H30" s="14">
        <f>H18+H29</f>
        <v>1561.69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1.76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1">
      <selection activeCell="C32" sqref="C32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875" style="1" customWidth="1"/>
    <col min="4" max="4" width="10.003906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98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113" t="s">
        <v>4</v>
      </c>
      <c r="C7" s="113" t="s">
        <v>0</v>
      </c>
      <c r="D7" s="113" t="s">
        <v>8</v>
      </c>
      <c r="E7" s="113" t="s">
        <v>9</v>
      </c>
      <c r="F7" s="113"/>
      <c r="G7" s="113"/>
      <c r="H7" s="113" t="s">
        <v>16</v>
      </c>
      <c r="I7" s="113" t="s">
        <v>1</v>
      </c>
    </row>
    <row r="8" spans="2:9" ht="22.5" customHeight="1">
      <c r="B8" s="113"/>
      <c r="C8" s="113"/>
      <c r="D8" s="113"/>
      <c r="E8" s="6" t="s">
        <v>5</v>
      </c>
      <c r="F8" s="6" t="s">
        <v>6</v>
      </c>
      <c r="G8" s="6" t="s">
        <v>7</v>
      </c>
      <c r="H8" s="113"/>
      <c r="I8" s="113"/>
    </row>
    <row r="9" spans="2:9" ht="12.75">
      <c r="B9" s="112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112"/>
      <c r="C10" s="49" t="s">
        <v>89</v>
      </c>
      <c r="D10" s="51">
        <v>205</v>
      </c>
      <c r="E10" s="51">
        <v>6.4</v>
      </c>
      <c r="F10" s="51">
        <v>7</v>
      </c>
      <c r="G10" s="51">
        <v>33.4</v>
      </c>
      <c r="H10" s="51">
        <v>222</v>
      </c>
      <c r="I10" s="48">
        <v>169</v>
      </c>
    </row>
    <row r="11" spans="2:9" ht="12.75">
      <c r="B11" s="112"/>
      <c r="C11" s="49" t="s">
        <v>23</v>
      </c>
      <c r="D11" s="51">
        <v>50</v>
      </c>
      <c r="E11" s="51">
        <v>3.55</v>
      </c>
      <c r="F11" s="51">
        <v>0.35</v>
      </c>
      <c r="G11" s="51">
        <v>22.1</v>
      </c>
      <c r="H11" s="51">
        <v>120</v>
      </c>
      <c r="I11" s="92">
        <v>119</v>
      </c>
    </row>
    <row r="12" spans="2:9" ht="12.75">
      <c r="B12" s="112"/>
      <c r="C12" s="49" t="s">
        <v>101</v>
      </c>
      <c r="D12" s="51">
        <v>200</v>
      </c>
      <c r="E12" s="51">
        <v>0.2</v>
      </c>
      <c r="F12" s="51">
        <v>0</v>
      </c>
      <c r="G12" s="51">
        <v>11</v>
      </c>
      <c r="H12" s="51">
        <v>44.8</v>
      </c>
      <c r="I12" s="48">
        <v>114</v>
      </c>
    </row>
    <row r="13" spans="2:9" ht="12.75">
      <c r="B13" s="112"/>
      <c r="C13" s="49" t="s">
        <v>78</v>
      </c>
      <c r="D13" s="51">
        <v>100</v>
      </c>
      <c r="E13" s="51">
        <v>0.4</v>
      </c>
      <c r="F13" s="51">
        <v>0</v>
      </c>
      <c r="G13" s="51">
        <v>11.3</v>
      </c>
      <c r="H13" s="51">
        <v>46</v>
      </c>
      <c r="I13" s="48">
        <v>24</v>
      </c>
    </row>
    <row r="14" spans="2:9" ht="12.75">
      <c r="B14" s="112"/>
      <c r="C14" s="49" t="s">
        <v>157</v>
      </c>
      <c r="D14" s="51">
        <v>60</v>
      </c>
      <c r="E14" s="51">
        <v>3.24</v>
      </c>
      <c r="F14" s="51">
        <v>3.96</v>
      </c>
      <c r="G14" s="51">
        <v>35.1</v>
      </c>
      <c r="H14" s="51">
        <v>189</v>
      </c>
      <c r="I14" s="48">
        <v>162</v>
      </c>
    </row>
    <row r="15" spans="2:9" ht="12.75">
      <c r="B15" s="112"/>
      <c r="C15" s="5"/>
      <c r="D15" s="12"/>
      <c r="E15" s="12"/>
      <c r="F15" s="12"/>
      <c r="G15" s="12"/>
      <c r="H15" s="12"/>
      <c r="I15" s="89"/>
    </row>
    <row r="16" spans="2:9" ht="12.75">
      <c r="B16" s="112"/>
      <c r="C16" s="49" t="s">
        <v>146</v>
      </c>
      <c r="D16" s="51">
        <v>200</v>
      </c>
      <c r="E16" s="51">
        <v>5.8</v>
      </c>
      <c r="F16" s="51">
        <v>5</v>
      </c>
      <c r="G16" s="51">
        <v>8</v>
      </c>
      <c r="H16" s="51">
        <v>101</v>
      </c>
      <c r="I16" s="48" t="s">
        <v>147</v>
      </c>
    </row>
    <row r="17" spans="2:9" ht="12.75">
      <c r="B17" s="112"/>
      <c r="C17" s="5"/>
      <c r="D17" s="12"/>
      <c r="E17" s="12"/>
      <c r="F17" s="12"/>
      <c r="G17" s="12"/>
      <c r="H17" s="12"/>
      <c r="I17" s="93"/>
    </row>
    <row r="18" spans="2:9" ht="12.75">
      <c r="B18" s="8" t="s">
        <v>10</v>
      </c>
      <c r="C18" s="7"/>
      <c r="D18" s="13">
        <f>SUM(D9:D17)</f>
        <v>815</v>
      </c>
      <c r="E18" s="13">
        <f>SUM(E9:E17)</f>
        <v>19.59</v>
      </c>
      <c r="F18" s="13">
        <f>SUM(F9:F17)</f>
        <v>16.31</v>
      </c>
      <c r="G18" s="13">
        <f>SUM(G9:G17)</f>
        <v>120.9</v>
      </c>
      <c r="H18" s="14">
        <f>SUM(H9:H17)</f>
        <v>722.8</v>
      </c>
      <c r="I18" s="94"/>
    </row>
    <row r="19" spans="2:9" ht="12.75">
      <c r="B19" s="112" t="s">
        <v>12</v>
      </c>
      <c r="C19" s="5"/>
      <c r="D19" s="12"/>
      <c r="E19" s="12"/>
      <c r="F19" s="12"/>
      <c r="G19" s="12"/>
      <c r="H19" s="12"/>
      <c r="I19" s="93"/>
    </row>
    <row r="20" spans="2:9" ht="12.75">
      <c r="B20" s="112"/>
      <c r="C20" s="73" t="s">
        <v>136</v>
      </c>
      <c r="D20" s="60">
        <v>60</v>
      </c>
      <c r="E20" s="61">
        <v>0.66</v>
      </c>
      <c r="F20" s="61">
        <v>0.12</v>
      </c>
      <c r="G20" s="61">
        <v>2.28</v>
      </c>
      <c r="H20" s="61">
        <v>13.8</v>
      </c>
      <c r="I20" s="58">
        <v>29</v>
      </c>
    </row>
    <row r="21" spans="2:9" ht="12.75">
      <c r="B21" s="112"/>
      <c r="C21" s="55" t="s">
        <v>45</v>
      </c>
      <c r="D21" s="60">
        <v>250</v>
      </c>
      <c r="E21" s="61">
        <v>8</v>
      </c>
      <c r="F21" s="61">
        <v>7.75</v>
      </c>
      <c r="G21" s="61">
        <v>15.25</v>
      </c>
      <c r="H21" s="61">
        <v>163.25</v>
      </c>
      <c r="I21" s="58">
        <v>33</v>
      </c>
    </row>
    <row r="22" spans="2:9" ht="12.75">
      <c r="B22" s="112"/>
      <c r="C22" s="55" t="s">
        <v>137</v>
      </c>
      <c r="D22" s="60">
        <v>90</v>
      </c>
      <c r="E22" s="61">
        <v>14.2</v>
      </c>
      <c r="F22" s="61">
        <v>19.7</v>
      </c>
      <c r="G22" s="61">
        <v>12.06</v>
      </c>
      <c r="H22" s="61">
        <v>283.05</v>
      </c>
      <c r="I22" s="58">
        <v>93</v>
      </c>
    </row>
    <row r="23" spans="2:9" ht="12.75">
      <c r="B23" s="112"/>
      <c r="C23" s="67" t="s">
        <v>30</v>
      </c>
      <c r="D23" s="56">
        <v>150</v>
      </c>
      <c r="E23" s="57">
        <v>2.29</v>
      </c>
      <c r="F23" s="57">
        <v>6.9</v>
      </c>
      <c r="G23" s="57">
        <v>13.7</v>
      </c>
      <c r="H23" s="57">
        <v>130.7</v>
      </c>
      <c r="I23" s="58" t="s">
        <v>138</v>
      </c>
    </row>
    <row r="24" spans="2:9" ht="12.75">
      <c r="B24" s="112"/>
      <c r="C24" s="63" t="s">
        <v>104</v>
      </c>
      <c r="D24" s="64">
        <v>30</v>
      </c>
      <c r="E24" s="65">
        <v>2.4</v>
      </c>
      <c r="F24" s="65">
        <v>0.4</v>
      </c>
      <c r="G24" s="65">
        <f>15.8*200/150</f>
        <v>21.066666666666666</v>
      </c>
      <c r="H24" s="66">
        <f>77.4*200/150</f>
        <v>103.20000000000002</v>
      </c>
      <c r="I24" s="62">
        <v>119</v>
      </c>
    </row>
    <row r="25" spans="2:9" ht="12.75">
      <c r="B25" s="112"/>
      <c r="C25" s="63" t="s">
        <v>127</v>
      </c>
      <c r="D25" s="64">
        <v>25</v>
      </c>
      <c r="E25" s="65">
        <v>1.42</v>
      </c>
      <c r="F25" s="65">
        <v>0.27</v>
      </c>
      <c r="G25" s="65">
        <v>9.3</v>
      </c>
      <c r="H25" s="66">
        <v>45.32</v>
      </c>
      <c r="I25" s="58">
        <v>120</v>
      </c>
    </row>
    <row r="26" spans="2:9" ht="12.75">
      <c r="B26" s="112"/>
      <c r="C26" s="55" t="s">
        <v>139</v>
      </c>
      <c r="D26" s="68">
        <v>200</v>
      </c>
      <c r="E26" s="61">
        <v>0</v>
      </c>
      <c r="F26" s="61">
        <v>0</v>
      </c>
      <c r="G26" s="61">
        <v>26</v>
      </c>
      <c r="H26" s="61">
        <v>76.8</v>
      </c>
      <c r="I26" s="58">
        <v>104</v>
      </c>
    </row>
    <row r="27" spans="2:9" ht="12.75">
      <c r="B27" s="112"/>
      <c r="C27" s="5"/>
      <c r="D27" s="12"/>
      <c r="E27" s="12"/>
      <c r="F27" s="12"/>
      <c r="G27" s="12"/>
      <c r="H27" s="12"/>
      <c r="I27" s="10"/>
    </row>
    <row r="28" spans="2:9" ht="12.75">
      <c r="B28" s="112"/>
      <c r="C28" s="5"/>
      <c r="D28" s="12"/>
      <c r="E28" s="12"/>
      <c r="F28" s="12"/>
      <c r="G28" s="12"/>
      <c r="H28" s="12"/>
      <c r="I28" s="10"/>
    </row>
    <row r="29" spans="2:9" ht="12.75">
      <c r="B29" s="8" t="s">
        <v>13</v>
      </c>
      <c r="C29" s="7"/>
      <c r="D29" s="14">
        <f>SUM(D19:D28)</f>
        <v>805</v>
      </c>
      <c r="E29" s="14">
        <f>SUM(E19:E28)</f>
        <v>28.97</v>
      </c>
      <c r="F29" s="14">
        <f>SUM(F19:F28)</f>
        <v>35.14</v>
      </c>
      <c r="G29" s="14">
        <f>SUM(G19:G28)</f>
        <v>99.65666666666667</v>
      </c>
      <c r="H29" s="14">
        <f>SUM(H19:H28)</f>
        <v>816.12</v>
      </c>
      <c r="I29" s="11"/>
    </row>
    <row r="30" spans="2:9" ht="12.75">
      <c r="B30" s="8" t="s">
        <v>14</v>
      </c>
      <c r="C30" s="7"/>
      <c r="D30" s="14">
        <f>D18+D29</f>
        <v>1620</v>
      </c>
      <c r="E30" s="14">
        <f>E18+E29</f>
        <v>48.56</v>
      </c>
      <c r="F30" s="14">
        <f>F18+F29</f>
        <v>51.45</v>
      </c>
      <c r="G30" s="14">
        <f>G18+G29</f>
        <v>220.55666666666667</v>
      </c>
      <c r="H30" s="14">
        <f>H18+H29</f>
        <v>1538.92</v>
      </c>
      <c r="I30" s="11"/>
    </row>
    <row r="32" spans="3:8" ht="12.75">
      <c r="C32" s="108"/>
      <c r="D32" s="108"/>
      <c r="E32" s="108"/>
      <c r="F32" s="109"/>
      <c r="G32" s="109"/>
      <c r="H32" s="109"/>
    </row>
    <row r="33" spans="3:8" ht="12.75">
      <c r="C33" s="108"/>
      <c r="D33" s="110"/>
      <c r="E33" s="110"/>
      <c r="F33" s="110"/>
      <c r="G33" s="110"/>
      <c r="H33" s="110"/>
    </row>
    <row r="34" spans="4:8" ht="12.75">
      <c r="D34" s="39"/>
      <c r="E34" s="85"/>
      <c r="F34" s="85"/>
      <c r="G34" s="85"/>
      <c r="H34" s="85"/>
    </row>
  </sheetData>
  <sheetProtection/>
  <mergeCells count="8">
    <mergeCell ref="H7:H8"/>
    <mergeCell ref="I7:I8"/>
    <mergeCell ref="B9:B17"/>
    <mergeCell ref="B19:B28"/>
    <mergeCell ref="B7:B8"/>
    <mergeCell ref="C7:C8"/>
    <mergeCell ref="D7:D8"/>
    <mergeCell ref="E7:G7"/>
  </mergeCells>
  <printOptions/>
  <pageMargins left="2.06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Чичагова Т.П.</cp:lastModifiedBy>
  <cp:lastPrinted>2021-05-13T07:45:32Z</cp:lastPrinted>
  <dcterms:created xsi:type="dcterms:W3CDTF">2015-10-09T01:50:55Z</dcterms:created>
  <dcterms:modified xsi:type="dcterms:W3CDTF">2021-05-17T04:09:50Z</dcterms:modified>
  <cp:category/>
  <cp:version/>
  <cp:contentType/>
  <cp:contentStatus/>
</cp:coreProperties>
</file>